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hlSfRtplmM6AkxIRE4u25d4NabtT25Iln8mXTTT5E5tDkGi5f/l/NQvVcs5PL8qZDAoFNWIIpXw+aKJQSRMjg==" workbookSaltValue="BISsgFJbSfDDgcIsr/Dqd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D18" i="12"/>
  <c r="ER19" i="8"/>
  <c r="EQ19" i="8"/>
  <c r="BA13" i="16"/>
  <c r="AC17" i="11"/>
  <c r="G18" i="12"/>
  <c r="W19" i="13"/>
  <c r="Z19" i="8"/>
  <c r="AL13" i="16"/>
  <c r="S13" i="16"/>
  <c r="P13" i="16"/>
  <c r="AN13" i="20"/>
  <c r="H13" i="12"/>
  <c r="I19" i="8"/>
  <c r="E13" i="17"/>
  <c r="T13" i="20"/>
  <c r="T13" i="16"/>
  <c r="AP13" i="16"/>
  <c r="T18" i="17"/>
  <c r="BG15" i="13"/>
  <c r="K20" i="20"/>
  <c r="Z20" i="20"/>
  <c r="AM20" i="20"/>
  <c r="AK20" i="20"/>
  <c r="W20" i="21"/>
  <c r="F20" i="20"/>
  <c r="J20" i="20"/>
  <c r="AF20" i="20"/>
  <c r="M20" i="20"/>
  <c r="AG20" i="20"/>
  <c r="S20" i="20"/>
  <c r="AR18" i="11" l="1"/>
  <c r="AN17" i="11"/>
  <c r="AJ19" i="8"/>
  <c r="T19" i="8"/>
  <c r="T13" i="12"/>
  <c r="AA19" i="8"/>
  <c r="BF9" i="8"/>
  <c r="J9" i="7" s="1"/>
  <c r="BG9" i="8"/>
  <c r="K9" i="7" s="1"/>
  <c r="C19" i="3"/>
  <c r="AO12" i="11"/>
  <c r="X12" i="21"/>
  <c r="BH17" i="16"/>
  <c r="V9" i="11"/>
  <c r="BU11" i="17"/>
  <c r="BW12" i="20"/>
  <c r="BW10" i="20"/>
  <c r="Q17" i="17"/>
  <c r="Q15" i="17"/>
  <c r="BL16"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BH11" i="16"/>
  <c r="BM16" i="11"/>
  <c r="BF17" i="11"/>
  <c r="S17" i="16"/>
  <c r="S9" i="17"/>
  <c r="BM12" i="11"/>
  <c r="R10" i="21"/>
  <c r="R13" i="21" s="1"/>
  <c r="BG9" i="11"/>
  <c r="BH17" i="11"/>
  <c r="AP17" i="20"/>
  <c r="BU10" i="17"/>
  <c r="BW11" i="20"/>
  <c r="BU12" i="17"/>
  <c r="X15" i="17"/>
  <c r="BI9" i="11"/>
  <c r="S10" i="17"/>
  <c r="BF15" i="11"/>
  <c r="AQ12" i="21"/>
  <c r="L17" i="2"/>
  <c r="L9" i="2"/>
  <c r="AA9" i="16"/>
  <c r="BA13" i="8"/>
  <c r="D17" i="6"/>
  <c r="BF12" i="8"/>
  <c r="AY13" i="8"/>
  <c r="BD15" i="8"/>
  <c r="H15" i="7" s="1"/>
  <c r="G18" i="2"/>
  <c r="BE9" i="8"/>
  <c r="I9" i="7" s="1"/>
  <c r="AC12" i="11"/>
  <c r="BD11" i="13"/>
  <c r="BB13" i="13"/>
  <c r="F11" i="16"/>
  <c r="BF11" i="1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I11" i="7"/>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J15" i="12" l="1"/>
  <c r="K10" i="12"/>
  <c r="K9" i="12"/>
  <c r="J9" i="12"/>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N20" i="11"/>
  <c r="AO20" i="17"/>
  <c r="N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Z20" i="16"/>
  <c r="U20" i="21"/>
  <c r="AM20" i="11"/>
  <c r="BG20" i="16"/>
  <c r="J20" i="21"/>
  <c r="AW20" i="17"/>
  <c r="R20" i="17"/>
  <c r="S20" i="17"/>
  <c r="AG20" i="17"/>
  <c r="AZ20" i="11"/>
  <c r="V20" i="11"/>
  <c r="AU20" i="11"/>
  <c r="M20" i="16"/>
  <c r="AR20" i="20"/>
  <c r="AV20" i="17"/>
  <c r="AJ20" i="11"/>
  <c r="AM20" i="17"/>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<sst xmlns="http://schemas.openxmlformats.org/spreadsheetml/2006/main" count="2080" uniqueCount="914">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</sst>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b0nDovMKfRFfBfVVY9H0S1MRLrFJXUNzzuaZlRBKwH6ZGAxKOwfBTuiFiYEnct7s/ETQNqW6is6A1t1NFmhlg==" saltValue="EQYZ0FA4aFE/7nn7RvAo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12.587726199842644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115</v>
      </c>
      <c r="D10" s="228">
        <f>IF(ISNUMBER(Datos!I10),Datos!I10," - ")</f>
        <v>115</v>
      </c>
      <c r="E10" s="229">
        <f>IF(ISNUMBER(Datos!J10),Datos!J10," - ")</f>
        <v>172</v>
      </c>
      <c r="F10" s="229">
        <f>IF(ISNUMBER(Datos!K10),Datos!K10," - ")</f>
        <v>152</v>
      </c>
      <c r="G10" s="1037" t="str">
        <f>IF(Datos!E10&lt;&gt;"",Datos!E10,Datos!D10)</f>
        <v>37</v>
      </c>
      <c r="H10" s="230">
        <f>IF(ISNUMBER(Datos!L10),Datos!L10," - ")</f>
        <v>135</v>
      </c>
      <c r="I10" s="1047" t="str">
        <f>IF(ISNUMBER(Datos!AS10/Datos!BM10),Datos!AS10/Datos!BM10," - ")</f>
        <v xml:space="preserve"> - </v>
      </c>
      <c r="J10" s="1048">
        <f>IF(ISNUMBER(Datos!BY10/Datos!CN10),Datos!BY10/Datos!CN10," - ")</f>
        <v>0</v>
      </c>
      <c r="K10" s="233">
        <f t="shared" ref="K10:K12" si="1">IF(ISNUMBER((E10-F10)/C10),(E10-F10)/C10," - ")</f>
        <v>0.17391304347826086</v>
      </c>
      <c r="L10" s="1028">
        <f>IF(ISNUMBER(NºAsuntos!I10/NºAsuntos!G10),(NºAsuntos!I10/NºAsuntos!G10)*11," - ")</f>
        <v>9.7697368421052637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5.0727133562954458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115</v>
      </c>
      <c r="D13" s="1052">
        <f>SUBTOTAL(9,D9:D12)</f>
        <v>115</v>
      </c>
      <c r="E13" s="1053">
        <f>SUBTOTAL(9,E9:E12)</f>
        <v>172</v>
      </c>
      <c r="F13" s="1054">
        <f>SUBTOTAL(9,F9:F12)</f>
        <v>152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5765</v>
      </c>
      <c r="D15" s="228">
        <f>IF(ISNUMBER(IF(D_I="SI",Datos!I15,Datos!I15+Datos!AC15)),IF(D_I="SI",Datos!I15,Datos!I15+Datos!AC15)," - ")</f>
        <v>5787</v>
      </c>
      <c r="E15" s="229">
        <f>IF(ISNUMBER(IF(D_I="SI",Datos!J15,Datos!J15+Datos!AD15)),IF(D_I="SI",Datos!J15,Datos!J15+Datos!AD15)," - ")</f>
        <v>13782</v>
      </c>
      <c r="F15" s="229">
        <f>IF(ISNUMBER(IF(D_I="SI",Datos!K15,Datos!K15+Datos!AE15)),IF(D_I="SI",Datos!K15,Datos!K15+Datos!AE15)," - ")</f>
        <v>13248</v>
      </c>
      <c r="G15" s="1037" t="str">
        <f>IF(Datos!E15&lt;&gt;"",Datos!E15,Datos!D15)</f>
        <v>03</v>
      </c>
      <c r="H15" s="230">
        <f>IF(ISNUMBER(IF(D_I="SI",Datos!L15,Datos!L15+Datos!AF15)),IF(D_I="SI",Datos!L15,Datos!L15+Datos!AF15)," - ")</f>
        <v>6299</v>
      </c>
      <c r="I15" s="1047" t="str">
        <f>IF(ISNUMBER(Datos!AS15/Datos!BM15),Datos!AS15/Datos!BM15," - ")</f>
        <v xml:space="preserve"> - </v>
      </c>
      <c r="J15" s="1048">
        <f>IF(ISNUMBER(Datos!BY15/Datos!CN15),Datos!BY15/Datos!CN15," - ")</f>
        <v>0</v>
      </c>
      <c r="K15" s="233">
        <f t="shared" ref="K15:K17" si="3">IF(ISNUMBER((E15-F15)/C15),(E15-F15)/C15," - ")</f>
        <v>9.2627927146574154E-2</v>
      </c>
      <c r="L15" s="1028">
        <f>IF(ISNUMBER(NºAsuntos!I15/NºAsuntos!G15),(NºAsuntos!I15/NºAsuntos!G15)*11," - ")</f>
        <v>5.230147946859903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219</v>
      </c>
      <c r="D17" s="228">
        <f>IF(ISNUMBER(IF(D_I="SI",Datos!I17,Datos!I17+Datos!AC17)),IF(D_I="SI",Datos!I17,Datos!I17+Datos!AC17)," - ")</f>
        <v>219</v>
      </c>
      <c r="E17" s="229">
        <f>IF(ISNUMBER(IF(D_I="SI",Datos!J17,Datos!J17+Datos!AD17)),IF(D_I="SI",Datos!J17,Datos!J17+Datos!AD17)," - ")</f>
        <v>1163</v>
      </c>
      <c r="F17" s="229">
        <f>IF(ISNUMBER(IF(D_I="SI",Datos!K17,Datos!K17+Datos!AE17)),IF(D_I="SI",Datos!K17,Datos!K17+Datos!AE17)," - ")</f>
        <v>1140</v>
      </c>
      <c r="G17" s="1037" t="str">
        <f>IF(Datos!E17&lt;&gt;"",Datos!E17,Datos!D17)</f>
        <v>37</v>
      </c>
      <c r="H17" s="230">
        <f>IF(ISNUMBER(IF(D_I="SI",Datos!L17,Datos!L17+Datos!AF17)),IF(D_I="SI",Datos!L17,Datos!L17+Datos!AF17)," - ")</f>
        <v>242</v>
      </c>
      <c r="I17" s="1047" t="str">
        <f>IF(ISNUMBER(Datos!AS17/Datos!BM17),Datos!AS17/Datos!BM17," - ")</f>
        <v xml:space="preserve"> - </v>
      </c>
      <c r="J17" s="1048" t="str">
        <f>IF(ISNUMBER((Datos!BY17+Datos!BZ17)/Datos!CN17),(Datos!BY17+Datos!BZ17)/Datos!CN17," - ")</f>
        <v xml:space="preserve"> - </v>
      </c>
      <c r="K17" s="233">
        <f t="shared" si="3"/>
        <v>0.1050228310502283</v>
      </c>
      <c r="L17" s="1028">
        <f>IF(ISNUMBER(NºAsuntos!I17/NºAsuntos!G17),(NºAsuntos!I17/NºAsuntos!G17)*11," - ")</f>
        <v>2.3350877192982455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5984</v>
      </c>
      <c r="D18" s="1052">
        <f>SUBTOTAL(9,D15:D17)</f>
        <v>6006</v>
      </c>
      <c r="E18" s="1053">
        <f>SUBTOTAL(9,E15:E17)</f>
        <v>14945</v>
      </c>
      <c r="F18" s="1053">
        <f>SUBTOTAL(9,F15:F17)</f>
        <v>14388</v>
      </c>
      <c r="G18" s="1055" t="str">
        <f ca="1">INDIRECT(CONCATENATE("G",ROW()-1))</f>
        <v>37</v>
      </c>
      <c r="H18" s="1056">
        <f ca="1">SUMIF(G$14:G17,G18,H$14:H17)</f>
        <v>242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6099</v>
      </c>
      <c r="D19" s="1074">
        <f>SUBTOTAL(9,D9:D18)</f>
        <v>6121</v>
      </c>
      <c r="E19" s="1075">
        <f>SUBTOTAL(9,E9:E18)</f>
        <v>15117</v>
      </c>
      <c r="F19" s="1075">
        <f>SUBTOTAL(9,F9:F18)</f>
        <v>14540</v>
      </c>
      <c r="G19" s="1076"/>
      <c r="H19" s="1077">
        <f ca="1">SUMIF(B9:B18,"TOTAL",H9:H18)</f>
        <v>242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mtUmoN4jlXEdoBnAVRELbxl3CCedMyy49CmAT27sDeQy4u3/DAImFgficdDHk7y86hCyqmbsV0cWEOswSdl2Q==" saltValue="xgymvPLgbVOnqxNJVi6g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JH4Yoc2PCz98NSo1NVnc70hLCifswJ2aTio0IL4O27JAZI9vLv9530kXnmwqzhGjDYB+VfDljsvc6vwXmVhYQ==" saltValue="FATskxtnyUlg+OP81+Vi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14555</v>
      </c>
      <c r="J9" s="184">
        <v>14840</v>
      </c>
      <c r="K9" s="184">
        <v>13207</v>
      </c>
      <c r="L9" s="184">
        <v>15546</v>
      </c>
      <c r="M9" s="184">
        <v>2714</v>
      </c>
      <c r="N9" s="184">
        <v>6528</v>
      </c>
      <c r="O9" s="184">
        <v>6085</v>
      </c>
      <c r="P9" s="184">
        <v>3259</v>
      </c>
      <c r="Q9" s="184">
        <v>3556</v>
      </c>
      <c r="R9" s="184">
        <v>17065</v>
      </c>
      <c r="S9" s="184">
        <v>12903</v>
      </c>
      <c r="T9" s="184">
        <v>14209</v>
      </c>
      <c r="U9" s="184">
        <v>12625</v>
      </c>
      <c r="V9" s="184">
        <v>14555</v>
      </c>
      <c r="W9" s="184">
        <v>2546</v>
      </c>
      <c r="X9" s="191">
        <v>6138</v>
      </c>
      <c r="Y9" s="194">
        <v>447</v>
      </c>
      <c r="Z9" s="184">
        <v>780</v>
      </c>
      <c r="AA9" s="184">
        <v>774</v>
      </c>
      <c r="AB9" s="184">
        <v>453</v>
      </c>
      <c r="AC9" s="184">
        <v>0</v>
      </c>
      <c r="AD9" s="184">
        <v>0</v>
      </c>
      <c r="AE9" s="184">
        <v>0</v>
      </c>
      <c r="AF9" s="191">
        <v>0</v>
      </c>
      <c r="AG9" s="194">
        <v>301</v>
      </c>
      <c r="AH9" s="184">
        <v>871</v>
      </c>
      <c r="AI9" s="184">
        <v>725</v>
      </c>
      <c r="AJ9" s="195">
        <v>447</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13204</v>
      </c>
      <c r="AZ9" s="123">
        <f>IF(ISNUMBER(IF(J_V="SI",T9,T9+AH9)),IF(J_V="SI",T9,T9+AH9)," - ")</f>
        <v>15080</v>
      </c>
      <c r="BA9" s="124">
        <f>IF(ISNUMBER(IF(J_V="SI",U9,U9+AI9)),IF(J_V="SI",U9,U9+AI9)," - ")</f>
        <v>13350</v>
      </c>
      <c r="BB9" s="124">
        <f>IF(ISNUMBER(IF(J_V="SI",V9,V9+AJ9)),IF(J_V="SI",V9,V9+AJ9)," - ")</f>
        <v>15002</v>
      </c>
      <c r="BC9" s="125">
        <f>IF(ISNUMBER(X9),X9," - ")</f>
        <v>6138</v>
      </c>
      <c r="BD9" s="126">
        <f>IF(ISNUMBER(BA9/AZ9),BA9/AZ9," - ")</f>
        <v>0.88527851458885942</v>
      </c>
      <c r="BE9" s="127">
        <f>IF(ISNUMBER(BB9/BA9),BB9/BA9, " - ")</f>
        <v>1.1237453183520598</v>
      </c>
      <c r="BF9" s="127">
        <f>IF(ISNUMBER(BC9/BA9),BC9/BA9, " - ")</f>
        <v>0.45977528089887643</v>
      </c>
      <c r="BG9" s="199">
        <f>IF(ISNUMBER((AY9+AZ9)/BA9),(AY9+AZ9)/BA9," - ")</f>
        <v>2.1186516853932584</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115</v>
      </c>
      <c r="J10" s="184">
        <v>172</v>
      </c>
      <c r="K10" s="184">
        <v>152</v>
      </c>
      <c r="L10" s="184">
        <v>135</v>
      </c>
      <c r="M10" s="184">
        <v>59</v>
      </c>
      <c r="N10" s="184">
        <v>56</v>
      </c>
      <c r="O10" s="184">
        <v>38</v>
      </c>
      <c r="P10" s="184">
        <v>40</v>
      </c>
      <c r="Q10" s="184">
        <v>48</v>
      </c>
      <c r="R10" s="184">
        <v>142</v>
      </c>
      <c r="S10" s="184">
        <v>119</v>
      </c>
      <c r="T10" s="184">
        <v>198</v>
      </c>
      <c r="U10" s="184">
        <v>202</v>
      </c>
      <c r="V10" s="184">
        <v>115</v>
      </c>
      <c r="W10" s="184">
        <v>62</v>
      </c>
      <c r="X10" s="191">
        <v>53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119</v>
      </c>
      <c r="AZ10" s="129">
        <f t="shared" si="0"/>
        <v>198</v>
      </c>
      <c r="BA10" s="129">
        <f t="shared" si="0"/>
        <v>202</v>
      </c>
      <c r="BB10" s="129">
        <f t="shared" si="0"/>
        <v>115</v>
      </c>
      <c r="BC10" s="125">
        <f t="shared" si="0"/>
        <v>62</v>
      </c>
      <c r="BD10" s="126">
        <f>IF(ISNUMBER(BA10/AZ10),BA10/AZ10," - ")</f>
        <v>1.0202020202020201</v>
      </c>
      <c r="BE10" s="127">
        <f>IF(ISNUMBER(BB10/BA10),BB10/BA10, " - ")</f>
        <v>0.56930693069306926</v>
      </c>
      <c r="BF10" s="127">
        <f>IF(ISNUMBER(BC10/BA10),BC10/BA10, " - ")</f>
        <v>0.30693069306930693</v>
      </c>
      <c r="BG10" s="199">
        <f>IF(ISNUMBER((AY10+AZ10)/BA10),(AY10+AZ10)/BA10," - ")</f>
        <v>1.5693069306930694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1074</v>
      </c>
      <c r="J11" s="186">
        <v>1882</v>
      </c>
      <c r="K11" s="186">
        <v>1799</v>
      </c>
      <c r="L11" s="186">
        <v>1157</v>
      </c>
      <c r="M11" s="186">
        <v>744</v>
      </c>
      <c r="N11" s="186">
        <v>1365</v>
      </c>
      <c r="O11" s="184">
        <v>557</v>
      </c>
      <c r="P11" s="186">
        <v>239</v>
      </c>
      <c r="Q11" s="186">
        <v>176</v>
      </c>
      <c r="R11" s="186">
        <v>852</v>
      </c>
      <c r="S11" s="186">
        <v>1101</v>
      </c>
      <c r="T11" s="186">
        <v>2111</v>
      </c>
      <c r="U11" s="186">
        <v>2118</v>
      </c>
      <c r="V11" s="186">
        <v>1074</v>
      </c>
      <c r="W11" s="186">
        <v>889</v>
      </c>
      <c r="X11" s="192">
        <v>1349</v>
      </c>
      <c r="Y11" s="194">
        <v>21</v>
      </c>
      <c r="Z11" s="184">
        <v>840</v>
      </c>
      <c r="AA11" s="184">
        <v>814</v>
      </c>
      <c r="AB11" s="184">
        <v>48</v>
      </c>
      <c r="AC11" s="186">
        <v>0</v>
      </c>
      <c r="AD11" s="186">
        <v>0</v>
      </c>
      <c r="AE11" s="186">
        <v>0</v>
      </c>
      <c r="AF11" s="192">
        <v>0</v>
      </c>
      <c r="AG11" s="205">
        <v>71</v>
      </c>
      <c r="AH11" s="186">
        <v>779</v>
      </c>
      <c r="AI11" s="186">
        <v>786</v>
      </c>
      <c r="AJ11" s="206">
        <v>21</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1172</v>
      </c>
      <c r="AZ11" s="127">
        <f t="shared" si="1"/>
        <v>2890</v>
      </c>
      <c r="BA11" s="127">
        <f t="shared" si="1"/>
        <v>2904</v>
      </c>
      <c r="BB11" s="127">
        <f t="shared" si="1"/>
        <v>1095</v>
      </c>
      <c r="BC11" s="125">
        <f>IF(ISNUMBER(X11),X11," - ")</f>
        <v>1349</v>
      </c>
      <c r="BD11" s="126">
        <f t="shared" ref="BD11:BD12" si="2">IF(ISNUMBER(BA11/AZ11),BA11/AZ11," - ")</f>
        <v>1.0048442906574395</v>
      </c>
      <c r="BE11" s="127">
        <f t="shared" ref="BE11:BE12" si="3">IF(ISNUMBER(BB11/BA11),BB11/BA11, " - ")</f>
        <v>0.37706611570247933</v>
      </c>
      <c r="BF11" s="127">
        <f t="shared" ref="BF11:BF12" si="4">IF(ISNUMBER(BC11/BA11),BC11/BA11, " - ")</f>
        <v>0.46453168044077137</v>
      </c>
      <c r="BG11" s="199">
        <f t="shared" ref="BG11:BG12" si="5">IF(ISNUMBER((AY11+AZ11)/BA11),(AY11+AZ11)/BA11," - ")</f>
        <v>1.3987603305785123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15744</v>
      </c>
      <c r="J13" s="187">
        <f t="shared" si="6"/>
        <v>16894</v>
      </c>
      <c r="K13" s="187">
        <f t="shared" si="6"/>
        <v>15158</v>
      </c>
      <c r="L13" s="187">
        <f t="shared" si="6"/>
        <v>16838</v>
      </c>
      <c r="M13" s="187">
        <f t="shared" si="6"/>
        <v>3517</v>
      </c>
      <c r="N13" s="187">
        <f t="shared" si="6"/>
        <v>7949</v>
      </c>
      <c r="O13" s="187">
        <f t="shared" si="6"/>
        <v>6680</v>
      </c>
      <c r="P13" s="187">
        <f t="shared" si="6"/>
        <v>3538</v>
      </c>
      <c r="Q13" s="187">
        <f t="shared" si="6"/>
        <v>3780</v>
      </c>
      <c r="R13" s="187">
        <f t="shared" si="6"/>
        <v>18059</v>
      </c>
      <c r="S13" s="187">
        <f t="shared" si="6"/>
        <v>14123</v>
      </c>
      <c r="T13" s="187">
        <f t="shared" si="6"/>
        <v>16518</v>
      </c>
      <c r="U13" s="187">
        <f t="shared" si="6"/>
        <v>14945</v>
      </c>
      <c r="V13" s="187">
        <f t="shared" si="6"/>
        <v>15744</v>
      </c>
      <c r="W13" s="187">
        <f t="shared" si="6"/>
        <v>3497</v>
      </c>
      <c r="X13" s="187">
        <f t="shared" si="6"/>
        <v>7540</v>
      </c>
      <c r="Y13" s="187">
        <f t="shared" si="6"/>
        <v>468</v>
      </c>
      <c r="Z13" s="187">
        <f t="shared" si="6"/>
        <v>1620</v>
      </c>
      <c r="AA13" s="187">
        <f t="shared" si="6"/>
        <v>1588</v>
      </c>
      <c r="AB13" s="187">
        <f t="shared" si="6"/>
        <v>501</v>
      </c>
      <c r="AC13" s="187">
        <f t="shared" si="6"/>
        <v>0</v>
      </c>
      <c r="AD13" s="187">
        <f t="shared" si="6"/>
        <v>0</v>
      </c>
      <c r="AE13" s="187">
        <f t="shared" si="6"/>
        <v>0</v>
      </c>
      <c r="AF13" s="187">
        <f>SUBTOTAL(9,AF9:AF12)</f>
        <v>0</v>
      </c>
      <c r="AG13" s="187">
        <f t="shared" ref="AG13:AT13" si="7">SUBTOTAL(9,AG8:AG12)</f>
        <v>372</v>
      </c>
      <c r="AH13" s="187">
        <f t="shared" si="7"/>
        <v>1650</v>
      </c>
      <c r="AI13" s="187">
        <f t="shared" si="7"/>
        <v>1511</v>
      </c>
      <c r="AJ13" s="187">
        <f t="shared" si="7"/>
        <v>468</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14495</v>
      </c>
      <c r="AZ13" s="187">
        <f>SUBTOTAL(9,AZ8:AZ12)</f>
        <v>18168</v>
      </c>
      <c r="BA13" s="187">
        <f>SUBTOTAL(9,BA8:BA12)</f>
        <v>16456</v>
      </c>
      <c r="BB13" s="187">
        <f>SUBTOTAL(9,BB8:BB12)</f>
        <v>16212</v>
      </c>
      <c r="BC13" s="187">
        <f>SUBTOTAL(9,BC8:BC12)</f>
        <v>7549</v>
      </c>
      <c r="BD13" s="208">
        <f>IF(ISNUMBER(BA13/AZ13),BA13/AZ13," - ")</f>
        <v>0.90576838397181858</v>
      </c>
      <c r="BE13" s="209">
        <f>IF(ISNUMBER(BB13/BA13),BB13/BA13, " - ")</f>
        <v>0.98517258142926589</v>
      </c>
      <c r="BF13" s="209">
        <f>IF(ISNUMBER(BC13/BA13),BC13/BA13, " - ")</f>
        <v>0.45873845405930969</v>
      </c>
      <c r="BG13" s="210">
        <f>IF(ISNUMBER((AY13+AZ13)/BA13),(AY13+AZ13)/BA13," - ")</f>
        <v>1.9848687408847836</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5787</v>
      </c>
      <c r="J15" s="186">
        <v>13782</v>
      </c>
      <c r="K15" s="186">
        <v>13248</v>
      </c>
      <c r="L15" s="186">
        <v>6299</v>
      </c>
      <c r="M15" s="186">
        <v>1648</v>
      </c>
      <c r="N15" s="186">
        <v>8175</v>
      </c>
      <c r="O15" s="184">
        <v>81</v>
      </c>
      <c r="P15" s="186">
        <v>358</v>
      </c>
      <c r="Q15" s="186">
        <v>396</v>
      </c>
      <c r="R15" s="186">
        <v>559</v>
      </c>
      <c r="S15" s="186">
        <v>4688</v>
      </c>
      <c r="T15" s="186">
        <v>13006</v>
      </c>
      <c r="U15" s="186">
        <v>12021</v>
      </c>
      <c r="V15" s="186">
        <v>5787</v>
      </c>
      <c r="W15" s="186">
        <v>1716</v>
      </c>
      <c r="X15" s="192">
        <v>7079</v>
      </c>
      <c r="Y15" s="205">
        <v>0</v>
      </c>
      <c r="Z15" s="186">
        <v>0</v>
      </c>
      <c r="AA15" s="186">
        <v>0</v>
      </c>
      <c r="AB15" s="186">
        <v>0</v>
      </c>
      <c r="AC15" s="186">
        <v>0</v>
      </c>
      <c r="AD15" s="186">
        <v>277</v>
      </c>
      <c r="AE15" s="186">
        <v>273</v>
      </c>
      <c r="AF15" s="192">
        <v>4</v>
      </c>
      <c r="AG15" s="205">
        <v>0</v>
      </c>
      <c r="AH15" s="186">
        <v>0</v>
      </c>
      <c r="AI15" s="186">
        <v>0</v>
      </c>
      <c r="AJ15" s="206">
        <v>0</v>
      </c>
      <c r="AK15" s="185">
        <v>6</v>
      </c>
      <c r="AL15" s="186">
        <v>266</v>
      </c>
      <c r="AM15" s="186">
        <v>272</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4688</v>
      </c>
      <c r="AZ15" s="129">
        <f t="shared" si="9"/>
        <v>13006</v>
      </c>
      <c r="BA15" s="129">
        <f t="shared" si="9"/>
        <v>12021</v>
      </c>
      <c r="BB15" s="129">
        <f t="shared" si="9"/>
        <v>5787</v>
      </c>
      <c r="BC15" s="125">
        <f>IF(ISNUMBER(W15),W15," - ")</f>
        <v>1716</v>
      </c>
      <c r="BD15" s="126">
        <f>IF(ISNUMBER(BA15/AZ15),BA15/AZ15," - ")</f>
        <v>0.92426572351222513</v>
      </c>
      <c r="BE15" s="127">
        <f>IF(ISNUMBER(BB15/BA15),BB15/BA15, " - ")</f>
        <v>0.48140753681058146</v>
      </c>
      <c r="BF15" s="127">
        <f>IF(ISNUMBER(BC15/BA15),BC15/BA15, " - ")</f>
        <v>0.14275018717244822</v>
      </c>
      <c r="BG15" s="199">
        <f t="shared" ref="BG15:BG16" si="10">IF(ISNUMBER((AY15+AZ15)/BA15),(AY15+AZ15)/BA15," - ")</f>
        <v>1.4719241327676567</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219</v>
      </c>
      <c r="J17" s="186">
        <v>1163</v>
      </c>
      <c r="K17" s="186">
        <v>1140</v>
      </c>
      <c r="L17" s="186">
        <v>242</v>
      </c>
      <c r="M17" s="186">
        <v>118</v>
      </c>
      <c r="N17" s="186">
        <v>480</v>
      </c>
      <c r="O17" s="186">
        <v>1</v>
      </c>
      <c r="P17" s="186">
        <v>14</v>
      </c>
      <c r="Q17" s="186">
        <v>7</v>
      </c>
      <c r="R17" s="186">
        <v>14</v>
      </c>
      <c r="S17" s="186">
        <v>223</v>
      </c>
      <c r="T17" s="186">
        <v>1174</v>
      </c>
      <c r="U17" s="186">
        <v>1178</v>
      </c>
      <c r="V17" s="186">
        <v>219</v>
      </c>
      <c r="W17" s="186">
        <v>74</v>
      </c>
      <c r="X17" s="192">
        <v>490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223</v>
      </c>
      <c r="AZ17" s="129">
        <f t="shared" si="14"/>
        <v>1174</v>
      </c>
      <c r="BA17" s="129">
        <f t="shared" si="14"/>
        <v>1178</v>
      </c>
      <c r="BB17" s="129">
        <f t="shared" si="14"/>
        <v>219</v>
      </c>
      <c r="BC17" s="125">
        <f>IF(ISNUMBER(W17),W17," - ")</f>
        <v>74</v>
      </c>
      <c r="BD17" s="126">
        <f>IF(ISNUMBER(BA17/AZ17),BA17/AZ17," - ")</f>
        <v>1.0034071550255537</v>
      </c>
      <c r="BE17" s="127">
        <f>IF(ISNUMBER(BB17/BA17),BB17/BA17, " - ")</f>
        <v>0.18590831918505943</v>
      </c>
      <c r="BF17" s="127">
        <f>IF(ISNUMBER(BC17/BA17),BC17/BA17, " - ")</f>
        <v>6.2818336162988112E-2</v>
      </c>
      <c r="BG17" s="199">
        <f>IF(ISNUMBER((AY17+AZ17)/BA17),(AY17+AZ17)/BA17," - ")</f>
        <v>1.1859083191850595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6006</v>
      </c>
      <c r="J18" s="187">
        <f t="shared" si="15"/>
        <v>14945</v>
      </c>
      <c r="K18" s="187">
        <f t="shared" si="15"/>
        <v>14388</v>
      </c>
      <c r="L18" s="187">
        <f t="shared" si="15"/>
        <v>6541</v>
      </c>
      <c r="M18" s="187">
        <f t="shared" si="15"/>
        <v>1766</v>
      </c>
      <c r="N18" s="187">
        <f t="shared" si="15"/>
        <v>8655</v>
      </c>
      <c r="O18" s="187">
        <f t="shared" si="15"/>
        <v>82</v>
      </c>
      <c r="P18" s="187">
        <f t="shared" si="15"/>
        <v>372</v>
      </c>
      <c r="Q18" s="187">
        <f t="shared" si="15"/>
        <v>403</v>
      </c>
      <c r="R18" s="187">
        <f t="shared" si="15"/>
        <v>573</v>
      </c>
      <c r="S18" s="187">
        <f t="shared" si="15"/>
        <v>4911</v>
      </c>
      <c r="T18" s="187">
        <f t="shared" si="15"/>
        <v>14180</v>
      </c>
      <c r="U18" s="187">
        <f t="shared" si="15"/>
        <v>13199</v>
      </c>
      <c r="V18" s="187">
        <f t="shared" si="15"/>
        <v>6006</v>
      </c>
      <c r="W18" s="187">
        <f t="shared" si="15"/>
        <v>1790</v>
      </c>
      <c r="X18" s="187">
        <f t="shared" si="15"/>
        <v>7569</v>
      </c>
      <c r="Y18" s="187">
        <f t="shared" si="15"/>
        <v>0</v>
      </c>
      <c r="Z18" s="187">
        <f t="shared" si="15"/>
        <v>0</v>
      </c>
      <c r="AA18" s="187">
        <f t="shared" si="15"/>
        <v>0</v>
      </c>
      <c r="AB18" s="187">
        <f t="shared" si="15"/>
        <v>0</v>
      </c>
      <c r="AC18" s="187">
        <f t="shared" si="15"/>
        <v>0</v>
      </c>
      <c r="AD18" s="187">
        <f t="shared" si="15"/>
        <v>277</v>
      </c>
      <c r="AE18" s="187">
        <f t="shared" si="15"/>
        <v>273</v>
      </c>
      <c r="AF18" s="187">
        <f t="shared" si="15"/>
        <v>4</v>
      </c>
      <c r="AG18" s="187">
        <f t="shared" si="15"/>
        <v>0</v>
      </c>
      <c r="AH18" s="187">
        <f t="shared" si="15"/>
        <v>0</v>
      </c>
      <c r="AI18" s="187">
        <f t="shared" si="15"/>
        <v>0</v>
      </c>
      <c r="AJ18" s="187">
        <f t="shared" si="15"/>
        <v>0</v>
      </c>
      <c r="AK18" s="187">
        <f t="shared" si="15"/>
        <v>6</v>
      </c>
      <c r="AL18" s="187">
        <f t="shared" si="15"/>
        <v>266</v>
      </c>
      <c r="AM18" s="187">
        <f t="shared" si="15"/>
        <v>272</v>
      </c>
      <c r="AN18" s="187">
        <f t="shared" si="15"/>
        <v>0</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4911</v>
      </c>
      <c r="AZ18" s="187">
        <f>SUBTOTAL(9,AZ14:AZ17)</f>
        <v>14180</v>
      </c>
      <c r="BA18" s="187">
        <f>SUBTOTAL(9,BA14:BA17)</f>
        <v>13199</v>
      </c>
      <c r="BB18" s="187">
        <f>SUBTOTAL(9,BB14:BB17)</f>
        <v>6006</v>
      </c>
      <c r="BC18" s="187">
        <f>SUBTOTAL(9,BC14:BC17)</f>
        <v>1790</v>
      </c>
      <c r="BD18" s="208">
        <f>IF(ISNUMBER(BA18/AZ18),BA18/AZ18," - ")</f>
        <v>0.93081805359661496</v>
      </c>
      <c r="BE18" s="209">
        <f>IF(ISNUMBER(BB18/BA18),BB18/BA18, " - ")</f>
        <v>0.45503447230850824</v>
      </c>
      <c r="BF18" s="209">
        <f>IF(ISNUMBER(BC18/BA18),BC18/BA18, " - ")</f>
        <v>0.13561633457080083</v>
      </c>
      <c r="BG18" s="210">
        <f>IF(ISNUMBER((AY18+AZ18)/BA18),(AY18+AZ18)/BA18," - ")</f>
        <v>1.4463974543526024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21750</v>
      </c>
      <c r="J19" s="134">
        <f t="shared" si="18"/>
        <v>31839</v>
      </c>
      <c r="K19" s="134">
        <f t="shared" si="18"/>
        <v>29546</v>
      </c>
      <c r="L19" s="134">
        <f t="shared" si="18"/>
        <v>23379</v>
      </c>
      <c r="M19" s="134">
        <f t="shared" si="18"/>
        <v>5283</v>
      </c>
      <c r="N19" s="134">
        <f t="shared" si="18"/>
        <v>16604</v>
      </c>
      <c r="O19" s="134">
        <f t="shared" si="18"/>
        <v>6762</v>
      </c>
      <c r="P19" s="134">
        <f t="shared" si="18"/>
        <v>3910</v>
      </c>
      <c r="Q19" s="134">
        <f t="shared" si="18"/>
        <v>4183</v>
      </c>
      <c r="R19" s="134">
        <f t="shared" si="18"/>
        <v>18632</v>
      </c>
      <c r="S19" s="134">
        <f t="shared" si="18"/>
        <v>19034</v>
      </c>
      <c r="T19" s="134">
        <f t="shared" si="18"/>
        <v>30698</v>
      </c>
      <c r="U19" s="134">
        <f t="shared" si="18"/>
        <v>28144</v>
      </c>
      <c r="V19" s="134">
        <f t="shared" si="18"/>
        <v>21750</v>
      </c>
      <c r="W19" s="134">
        <f t="shared" si="18"/>
        <v>5287</v>
      </c>
      <c r="X19" s="134">
        <f t="shared" si="18"/>
        <v>15109</v>
      </c>
      <c r="Y19" s="134">
        <f t="shared" si="18"/>
        <v>468</v>
      </c>
      <c r="Z19" s="134">
        <f t="shared" si="18"/>
        <v>1620</v>
      </c>
      <c r="AA19" s="134">
        <f t="shared" si="18"/>
        <v>1588</v>
      </c>
      <c r="AB19" s="134">
        <f t="shared" si="18"/>
        <v>501</v>
      </c>
      <c r="AC19" s="134">
        <f t="shared" si="18"/>
        <v>0</v>
      </c>
      <c r="AD19" s="134">
        <f t="shared" si="18"/>
        <v>277</v>
      </c>
      <c r="AE19" s="134">
        <f t="shared" si="18"/>
        <v>273</v>
      </c>
      <c r="AF19" s="134">
        <f t="shared" si="18"/>
        <v>4</v>
      </c>
      <c r="AG19" s="134">
        <f t="shared" si="18"/>
        <v>372</v>
      </c>
      <c r="AH19" s="134">
        <f t="shared" si="18"/>
        <v>1650</v>
      </c>
      <c r="AI19" s="134">
        <f t="shared" si="18"/>
        <v>1511</v>
      </c>
      <c r="AJ19" s="134">
        <f t="shared" si="18"/>
        <v>468</v>
      </c>
      <c r="AK19" s="134">
        <f t="shared" si="18"/>
        <v>6</v>
      </c>
      <c r="AL19" s="134">
        <f t="shared" si="18"/>
        <v>266</v>
      </c>
      <c r="AM19" s="134">
        <f t="shared" si="18"/>
        <v>272</v>
      </c>
      <c r="AN19" s="213">
        <f t="shared" si="18"/>
        <v>0</v>
      </c>
      <c r="AO19" s="214">
        <v>16</v>
      </c>
      <c r="AP19" s="214">
        <v>16</v>
      </c>
      <c r="AQ19" s="214">
        <v>16</v>
      </c>
      <c r="AR19" s="214">
        <v>16</v>
      </c>
      <c r="AS19" s="156">
        <f t="shared" si="18"/>
        <v>0</v>
      </c>
      <c r="AT19" s="156">
        <f t="shared" si="18"/>
        <v>0</v>
      </c>
      <c r="AU19" s="214"/>
      <c r="AV19" s="215"/>
      <c r="AW19" s="214"/>
      <c r="AX19" s="215"/>
      <c r="AY19" s="133">
        <f>SUBTOTAL(9,AY9:AY18)</f>
        <v>19406</v>
      </c>
      <c r="AZ19" s="134">
        <f>SUBTOTAL(9,AZ9:AZ18)</f>
        <v>32348</v>
      </c>
      <c r="BA19" s="134">
        <f>SUBTOTAL(9,BA9:BA18)</f>
        <v>29655</v>
      </c>
      <c r="BB19" s="134">
        <f>SUBTOTAL(9,BB9:BB18)</f>
        <v>22218</v>
      </c>
      <c r="BC19" s="135">
        <f>SUBTOTAL(9,BC9:BC18)</f>
        <v>9339</v>
      </c>
      <c r="BD19" s="216">
        <f>IF(ISNUMBER(BA19/AZ19),BA19/AZ19," - ")</f>
        <v>0.9167491034994435</v>
      </c>
      <c r="BE19" s="213">
        <f>IF(ISNUMBER(BB19/BA19),BB19/BA19, " - ")</f>
        <v>0.74921598381385934</v>
      </c>
      <c r="BF19" s="213">
        <f>IF(ISNUMBER(BC19/BA19),BC19/BA19, " - ")</f>
        <v>0.31492159838138595</v>
      </c>
      <c r="BG19" s="135">
        <f>IF(ISNUMBER((AY19+AZ19)/BA19),(AY19+AZ19)/BA19," - ")</f>
        <v>1.7452031697858708</v>
      </c>
      <c r="BH19" s="214">
        <f>SUBTOTAL(9,BH9:BH18)</f>
        <v>17</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vqzfy4iGtlxpeITzsG/+Z4KBfvdVmOJ46jzuIMB/S5UL7/TJp9TcZkiVXAWr3CYjaskAGly1+Xy1HNR5kKXGQ==" saltValue="CnKM7a/DGfTGOcwlvo0K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PXSVAq93Hd8aDXrR826UgNnrsnFVAbOZ5hgVSdT7F8wQAG9uDPG9tUSSebO+MDJnyDDwzl9gpH6014zNVmRjw==" saltValue="6sXNjO3DJbrC6T2RNhyP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SABADELL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780</v>
      </c>
      <c r="O9" s="337"/>
      <c r="P9" s="337"/>
      <c r="Q9" s="229">
        <f>IF(ISNUMBER(Datos!P9),Datos!P9,0)</f>
        <v>3259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3556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453</v>
      </c>
      <c r="AI9" s="337" t="str">
        <f>IF(ISNUMBER(Datos!CD9),Datos!CD9,"-")</f>
        <v>-</v>
      </c>
      <c r="AJ9" s="337" t="str">
        <f>IF(ISNUMBER(Datos!EN9),Datos!EN9," - ")</f>
        <v xml:space="preserve"> - </v>
      </c>
      <c r="AK9" s="337"/>
      <c r="AL9" s="482"/>
      <c r="AM9" s="338">
        <f>IF(ISNUMBER(Datos!R9),Datos!R9," - ")</f>
        <v>17065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2714</v>
      </c>
      <c r="BD9" s="232">
        <f>IF(ISNUMBER(Datos!N9),Datos!N9," - ")</f>
        <v>6528</v>
      </c>
      <c r="BE9" s="232" t="str">
        <f>IF(ISNUMBER(Datos!BW9),Datos!BW9," - ")</f>
        <v xml:space="preserve"> - </v>
      </c>
      <c r="BF9" s="231" t="str">
        <f>IF(ISNUMBER(Datos!BX9),Datos!BX9," - ")</f>
        <v xml:space="preserve"> - </v>
      </c>
      <c r="BG9" s="246">
        <f>IF(ISNUMBER(IF(J_V="SI",Datos!K9/Datos!J9,(Datos!K9+Datos!AA9)/(Datos!J9+Datos!Z9))),IF(J_V="SI",Datos!K9/Datos!J9,(Datos!K9+Datos!AA9)/(Datos!J9+Datos!Z9))," - ")</f>
        <v>0.8950704225352113</v>
      </c>
      <c r="BH9" s="263">
        <f>IF(ISNUMBER(((IF(J_V="SI",Datos!L9/Datos!K9,(Datos!L9+Datos!AB9)/(Datos!K9+Datos!AA9)))*11)/factor_trimestre),((IF(J_V="SI",Datos!L9/Datos!K9,(Datos!L9+Datos!AB9)/(Datos!K9+Datos!AA9)))*11)/factor_trimestre," - ")</f>
        <v>12.587726199842644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-1.7106324156203202E-2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115</v>
      </c>
      <c r="G10" s="336">
        <f>IF(ISNUMBER(Datos!I10),Datos!I10," - ")</f>
        <v>115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152</v>
      </c>
      <c r="AC10" s="229">
        <f>IF(ISNUMBER(Datos!Q10),Datos!Q10," - ")</f>
        <v>48</v>
      </c>
      <c r="AD10" s="337"/>
      <c r="AE10" s="487"/>
      <c r="AF10" s="335">
        <f>IF(ISNUMBER(Datos!L10),Datos!L10,"-")</f>
        <v>135</v>
      </c>
      <c r="AG10" s="337"/>
      <c r="AH10" s="337"/>
      <c r="AI10" s="337"/>
      <c r="AJ10" s="337"/>
      <c r="AK10" s="337"/>
      <c r="AL10" s="482"/>
      <c r="AM10" s="338">
        <f>IF(ISNUMBER(Datos!R10),Datos!R10," - ")</f>
        <v>142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59</v>
      </c>
      <c r="BD10" s="232">
        <f>IF(ISNUMBER(Datos!N10),Datos!N10," - ")</f>
        <v>56</v>
      </c>
      <c r="BE10" s="232" t="str">
        <f>IF(ISNUMBER(Datos!BW10),Datos!BW10," - ")</f>
        <v xml:space="preserve"> - </v>
      </c>
      <c r="BF10" s="231" t="str">
        <f>IF(ISNUMBER(Datos!BX10),Datos!BX10," - ")</f>
        <v xml:space="preserve"> - </v>
      </c>
      <c r="BG10" s="246">
        <f>IF(ISNUMBER(Datos!K10/Datos!J10),Datos!K10/Datos!J10," - ")</f>
        <v>0.88372093023255816</v>
      </c>
      <c r="BH10" s="263">
        <f>IF(ISNUMBER(((Datos!L10/Datos!K10)*11)/factor_trimestre),((Datos!L10/Datos!K10)*11)/factor_trimestre," - ")</f>
        <v>9.7697368421052637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-5.3333333333333337E-2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840</v>
      </c>
      <c r="O11" s="337"/>
      <c r="P11" s="337"/>
      <c r="Q11" s="229">
        <f>IF(ISNUMBER(Datos!P11),Datos!P11,0)</f>
        <v>239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176</v>
      </c>
      <c r="AD11" s="337"/>
      <c r="AE11" s="487"/>
      <c r="AF11" s="335" t="str">
        <f>IF(ISNUMBER(IF(J_V="SI",Datos!L11,Datos!L11+Datos!AB11)-IF(Monitorios="SI",Datos!CD11,0)),
                          IF(J_V="SI",Datos!L11,Datos!L11+Datos!AB11)-IF(Monitorios="SI",Datos!CD11,0),
                          " - ")</f>
        <v xml:space="preserve"> - </v>
      </c>
      <c r="AG11" s="337"/>
      <c r="AH11" s="337">
        <f>IF(ISNUMBER(Datos!AB11),Datos!AB11,"-")</f>
        <v>48</v>
      </c>
      <c r="AI11" s="337"/>
      <c r="AJ11" s="337"/>
      <c r="AK11" s="337"/>
      <c r="AL11" s="482"/>
      <c r="AM11" s="338">
        <f>IF(ISNUMBER(Datos!R11),Datos!R11," - ")</f>
        <v>852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744</v>
      </c>
      <c r="BD11" s="232">
        <f>IF(ISNUMBER(Datos!N11),Datos!N11," - ")</f>
        <v>1365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0.95995591476855258</v>
      </c>
      <c r="BH11" s="263">
        <f>IF(ISNUMBER(((IF(J_V="SI",Datos!L11/Datos!K11,(Datos!L11+Datos!AB11)/(Datos!K11+Datos!AA11)))*11)/factor_trimestre),((IF(J_V="SI",Datos!L11/Datos!K11,(Datos!L11+Datos!AB11)/(Datos!K11+Datos!AA11)))*11)/factor_trimestre," - ")</f>
        <v>5.0727133562954458</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7.9847908745247151E-2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11</v>
      </c>
      <c r="F13" s="901">
        <f t="shared" si="0"/>
        <v>115</v>
      </c>
      <c r="G13" s="901">
        <f t="shared" si="0"/>
        <v>115</v>
      </c>
      <c r="H13" s="902">
        <f t="shared" si="0"/>
        <v>0</v>
      </c>
      <c r="I13" s="901">
        <f t="shared" si="0"/>
        <v>0</v>
      </c>
      <c r="J13" s="870">
        <f t="shared" si="0"/>
        <v>0</v>
      </c>
      <c r="K13" s="870">
        <f t="shared" si="0"/>
        <v>0</v>
      </c>
      <c r="L13" s="902">
        <f t="shared" si="0"/>
        <v>0</v>
      </c>
      <c r="M13" s="902">
        <f t="shared" si="0"/>
        <v>0</v>
      </c>
      <c r="N13" s="902">
        <f t="shared" si="0"/>
        <v>1620</v>
      </c>
      <c r="O13" s="903">
        <f t="shared" si="0"/>
        <v>0</v>
      </c>
      <c r="P13" s="903">
        <f t="shared" si="0"/>
        <v>0</v>
      </c>
      <c r="Q13" s="902">
        <f t="shared" si="0"/>
        <v>3538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152</v>
      </c>
      <c r="AC13" s="902">
        <f t="shared" si="1"/>
        <v>3780</v>
      </c>
      <c r="AD13" s="902">
        <f t="shared" si="1"/>
        <v>0</v>
      </c>
      <c r="AE13" s="902">
        <f t="shared" si="1"/>
        <v>0</v>
      </c>
      <c r="AF13" s="902">
        <f t="shared" si="1"/>
        <v>135</v>
      </c>
      <c r="AG13" s="902">
        <f t="shared" si="1"/>
        <v>0</v>
      </c>
      <c r="AH13" s="902">
        <f t="shared" si="1"/>
        <v>501</v>
      </c>
      <c r="AI13" s="902">
        <f t="shared" si="1"/>
        <v>0</v>
      </c>
      <c r="AJ13" s="902">
        <f t="shared" si="1"/>
        <v>0</v>
      </c>
      <c r="AK13" s="902">
        <f t="shared" si="1"/>
        <v>0</v>
      </c>
      <c r="AL13" s="902">
        <f t="shared" si="1"/>
        <v>0</v>
      </c>
      <c r="AM13" s="902">
        <f t="shared" si="1"/>
        <v>18059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3517</v>
      </c>
      <c r="BD13" s="902">
        <f t="shared" si="1"/>
        <v>7949</v>
      </c>
      <c r="BE13" s="902">
        <f t="shared" si="1"/>
        <v>0</v>
      </c>
      <c r="BF13" s="902">
        <f t="shared" si="1"/>
        <v>0</v>
      </c>
      <c r="BG13" s="902">
        <f>IF(ISNUMBER(Datos!K13/Datos!J13),Datos!K13/Datos!J13," - ")</f>
        <v>0.89724162424529419</v>
      </c>
      <c r="BH13" s="906">
        <f>IF(ISNUMBER(((Datos!L13/Datos!K13)*11)/factor_trimestre),((Datos!L13/Datos!K13)*11)/factor_trimestre," - ")</f>
        <v>12.219158200290275</v>
      </c>
      <c r="BI13" s="902">
        <f>IF(ISNUMBER('Resol  Asuntos'!D13/NºAsuntos!G13),'Resol  Asuntos'!D13/NºAsuntos!G13," - ")</f>
        <v>0.21002030335602531</v>
      </c>
      <c r="BJ13" s="902" t="str">
        <f>IF(ISNUMBER(Datos!CI13/Datos!CJ13),Datos!CI13/Datos!CJ13," - ")</f>
        <v xml:space="preserve"> - </v>
      </c>
      <c r="BK13" s="902">
        <f>SUBTOTAL(9,BK8:BK12)</f>
        <v>0</v>
      </c>
      <c r="BL13" s="902">
        <f>IF(ISNUMBER((I13-AB13+L13)/(F13)),(I13-AB13+L13)/(F13)," - ")</f>
        <v>-1.3217391304347825</v>
      </c>
      <c r="BM13" s="907">
        <f>SUBTOTAL(9,BM9:BM12)</f>
        <v>9.4082512557106118E-3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5765</v>
      </c>
      <c r="G15" s="601">
        <f>IF(ISNUMBER(IF(D_I="SI",Datos!I15,Datos!I15+Datos!AC15)),IF(D_I="SI",Datos!I15,Datos!I15+Datos!AC15)," - ")</f>
        <v>5787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358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13248</v>
      </c>
      <c r="AC15" s="229">
        <f>IF(ISNUMBER(Datos!Q15),Datos!Q15," - ")</f>
        <v>396</v>
      </c>
      <c r="AD15" s="337"/>
      <c r="AE15" s="487"/>
      <c r="AF15" s="599">
        <f>IF(ISNUMBER(IF(D_I="SI",Datos!L15,Datos!L15+Datos!AF15)),IF(D_I="SI",Datos!L15,Datos!L15+Datos!AF15)," - ")</f>
        <v>6299</v>
      </c>
      <c r="AG15" s="337"/>
      <c r="AH15" s="337"/>
      <c r="AI15" s="337"/>
      <c r="AJ15" s="337"/>
      <c r="AK15" s="337"/>
      <c r="AL15" s="482"/>
      <c r="AM15" s="338">
        <f>IF(ISNUMBER(Datos!R15),Datos!R15," - ")</f>
        <v>559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1648</v>
      </c>
      <c r="BD15" s="232">
        <f>IF(ISNUMBER(Datos!N15),Datos!N15," - ")</f>
        <v>8175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0.96125380931649973</v>
      </c>
      <c r="BH15" s="263">
        <f>IF(ISNUMBER(((IF(D_I="SI",Datos!L15/Datos!K15,(Datos!L15+Datos!AF15)/(Datos!K15+Datos!AE15)))*11)/factor_trimestre),((IF(D_I="SI",Datos!L15/Datos!K15,(Datos!L15+Datos!AF15)/(Datos!K15+Datos!AE15)))*11)/factor_trimestre," - ")</f>
        <v>5.230147946859903</v>
      </c>
      <c r="BI15" s="246">
        <f>IF(ISNUMBER('Resol  Asuntos'!D15/NºAsuntos!G15),'Resol  Asuntos'!D15/NºAsuntos!G15," - ")</f>
        <v>0.12439613526570048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1140</v>
      </c>
      <c r="AC17" s="229">
        <f>IF(ISNUMBER(Datos!Q17),Datos!Q17," - ")</f>
        <v>7</v>
      </c>
      <c r="AD17" s="337"/>
      <c r="AE17" s="487"/>
      <c r="AF17" s="335">
        <f>IF(ISNUMBER(Datos!L17),Datos!L17,"-")</f>
        <v>242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118</v>
      </c>
      <c r="BD17" s="232">
        <f>IF(ISNUMBER(Datos!N17),Datos!N17," - ")</f>
        <v>480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0.98022355975924336</v>
      </c>
      <c r="BH17" s="263">
        <f>IF(ISNUMBER(((IF(D_I="SI",Datos!L17/Datos!K17,(Datos!L17+Datos!AF17)/(Datos!K17+Datos!AE17)))*11)/factor_trimestre),((IF(D_I="SI",Datos!L17/Datos!K17,(Datos!L17+Datos!AF17)/(Datos!K17+Datos!AE17)))*11)/factor_trimestre," - ")</f>
        <v>2.3350877192982455</v>
      </c>
      <c r="BI17" s="246">
        <f>IF(ISNUMBER('Resol  Asuntos'!D17/NºAsuntos!G17),'Resol  Asuntos'!D17/NºAsuntos!G17," - ")</f>
        <v>0.10350877192982456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5765</v>
      </c>
      <c r="G18" s="901">
        <f>SUBTOTAL(9,G15:G17)</f>
        <v>6006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14388</v>
      </c>
      <c r="AC18" s="902">
        <f t="shared" si="4"/>
        <v>403</v>
      </c>
      <c r="AD18" s="902">
        <f t="shared" si="4"/>
        <v>0</v>
      </c>
      <c r="AE18" s="902">
        <f t="shared" si="4"/>
        <v>0</v>
      </c>
      <c r="AF18" s="902">
        <f t="shared" si="4"/>
        <v>6541</v>
      </c>
      <c r="AG18" s="902">
        <f t="shared" si="4"/>
        <v>0</v>
      </c>
      <c r="AH18" s="902">
        <f t="shared" si="4"/>
        <v>0</v>
      </c>
      <c r="AI18" s="902">
        <f t="shared" si="4"/>
        <v>0</v>
      </c>
      <c r="AJ18" s="902">
        <f t="shared" si="4"/>
        <v>0</v>
      </c>
      <c r="AK18" s="902">
        <f t="shared" si="4"/>
        <v>0</v>
      </c>
      <c r="AL18" s="902">
        <f t="shared" si="4"/>
        <v>0</v>
      </c>
      <c r="AM18" s="902">
        <f t="shared" si="4"/>
        <v>573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1766</v>
      </c>
      <c r="BD18" s="902">
        <f t="shared" si="4"/>
        <v>8655</v>
      </c>
      <c r="BE18" s="902">
        <f t="shared" si="4"/>
        <v>0</v>
      </c>
      <c r="BF18" s="902">
        <f t="shared" si="4"/>
        <v>0</v>
      </c>
      <c r="BG18" s="902">
        <f>IF(ISNUMBER(Datos!K18/Datos!J18),Datos!K18/Datos!J18," - ")</f>
        <v>0.96273001003680159</v>
      </c>
      <c r="BH18" s="906">
        <f>IF(ISNUMBER(((Datos!L18/Datos!K18)*11)/factor_trimestre),((Datos!L18/Datos!K18)*11)/factor_trimestre," - ")</f>
        <v>5.0007645259938833</v>
      </c>
      <c r="BI18" s="902">
        <f>SUBTOTAL(9,BI15:BI17)</f>
        <v>0.22790490719552503</v>
      </c>
      <c r="BJ18" s="902">
        <f>SUBTOTAL(9,BJ15:BJ17)</f>
        <v>0</v>
      </c>
      <c r="BK18" s="902">
        <f>SUBTOTAL(9,BK15:BK17)</f>
        <v>0</v>
      </c>
      <c r="BL18" s="902">
        <f>IF(ISNUMBER((I18-AB18+L18)/(F18)),(I18-AB18+L18)/(F18)," - ")</f>
        <v>-2.4957502168256722</v>
      </c>
      <c r="BM18" s="908">
        <f>IF(ISNUMBER((Datos!P18-Datos!Q18)/(Datos!R18-Datos!P18+Datos!Q18)),(Datos!P18-Datos!Q18)/(Datos!R18-Datos!P18+Datos!Q18)," - ")</f>
        <v>-5.1324503311258277E-2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17</v>
      </c>
      <c r="F19" s="823">
        <f t="shared" si="6"/>
        <v>5880</v>
      </c>
      <c r="G19" s="823">
        <f t="shared" si="6"/>
        <v>6121</v>
      </c>
      <c r="H19" s="825">
        <f t="shared" si="6"/>
        <v>0</v>
      </c>
      <c r="I19" s="823">
        <f t="shared" si="6"/>
        <v>0</v>
      </c>
      <c r="J19" s="825">
        <f t="shared" si="6"/>
        <v>0</v>
      </c>
      <c r="K19" s="825">
        <f t="shared" si="6"/>
        <v>0</v>
      </c>
      <c r="L19" s="884">
        <f t="shared" si="6"/>
        <v>0</v>
      </c>
      <c r="M19" s="884">
        <f t="shared" si="6"/>
        <v>0</v>
      </c>
      <c r="N19" s="884">
        <f t="shared" si="6"/>
        <v>1620</v>
      </c>
      <c r="O19" s="884">
        <f t="shared" si="6"/>
        <v>0</v>
      </c>
      <c r="P19" s="884">
        <f t="shared" si="6"/>
        <v>0</v>
      </c>
      <c r="Q19" s="825">
        <f t="shared" si="6"/>
        <v>3910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14540</v>
      </c>
      <c r="AC19" s="824">
        <f t="shared" si="7"/>
        <v>4183</v>
      </c>
      <c r="AD19" s="824">
        <f t="shared" si="7"/>
        <v>0</v>
      </c>
      <c r="AE19" s="824">
        <f t="shared" si="7"/>
        <v>0</v>
      </c>
      <c r="AF19" s="831">
        <f t="shared" si="7"/>
        <v>6676</v>
      </c>
      <c r="AG19" s="831">
        <f t="shared" si="7"/>
        <v>0</v>
      </c>
      <c r="AH19" s="831">
        <f t="shared" si="7"/>
        <v>501</v>
      </c>
      <c r="AI19" s="831">
        <f t="shared" si="7"/>
        <v>0</v>
      </c>
      <c r="AJ19" s="824">
        <f t="shared" si="7"/>
        <v>0</v>
      </c>
      <c r="AK19" s="831">
        <f t="shared" si="7"/>
        <v>0</v>
      </c>
      <c r="AL19" s="831">
        <f t="shared" si="7"/>
        <v>0</v>
      </c>
      <c r="AM19" s="831">
        <f t="shared" si="7"/>
        <v>18632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5283</v>
      </c>
      <c r="BD19" s="823">
        <f t="shared" si="7"/>
        <v>16604</v>
      </c>
      <c r="BE19" s="823">
        <f t="shared" si="7"/>
        <v>0</v>
      </c>
      <c r="BF19" s="833">
        <f t="shared" si="7"/>
        <v>0</v>
      </c>
      <c r="BG19" s="918">
        <f>IF(ISNUMBER(Datos!K19/Datos!J19),Datos!K19/Datos!J19," - ")</f>
        <v>0.92798140645120764</v>
      </c>
      <c r="BH19" s="918">
        <f>IF(ISNUMBER(((Datos!L19/Datos!K19)*11)/factor_trimestre),((Datos!L19/Datos!K19)*11)/factor_trimestre," - ")</f>
        <v>8.7040208488458681</v>
      </c>
      <c r="BI19" s="816">
        <f>IF(ISNUMBER(Datos!J19/Datos!I19),Datos!J19/Datos!I19," - ")</f>
        <v>1.4638620689655173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-2.4727891156462585</v>
      </c>
      <c r="BM19" s="892">
        <f>IF(ISNUMBER((Datos!P19-Datos!Q19+R19)/(Datos!R19-Datos!P19+Datos!Q19-R19)),(Datos!P19-Datos!Q19+R19)/(Datos!R19-Datos!P19+Datos!Q19-R19)," - ")</f>
        <v>-1.4440624173499074E-2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2448.4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3.9299420408505319</v>
      </c>
      <c r="F21" s="554">
        <f>IF(ISNUMBER(STDEV(F8:F18)),STDEV(F8:F18),"-")</f>
        <v>3262.0290209213858</v>
      </c>
      <c r="G21" s="555">
        <f>IF(ISNUMBER(STDEV(G8:G18)),STDEV(G8:G18),"-")</f>
        <v>3148.9086680943924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7327.0146717472871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1303.3331445621591</v>
      </c>
      <c r="BD21" s="554"/>
      <c r="BE21" s="554">
        <f>IF(ISNUMBER(STDEV(BE8:BE18)),STDEV(BE8:BE18),"-")</f>
        <v>0</v>
      </c>
      <c r="BF21" s="559">
        <f>IF(ISNUMBER(STDEV(BF8:BF18)),STDEV(BF8:BF18),"-")</f>
        <v>0</v>
      </c>
      <c r="BG21" s="778">
        <f>IF(ISNUMBER(STDEV(BG8:BG18)),STDEV(BG8:BG18),"-")</f>
        <v>4.035776783368418E-2</v>
      </c>
      <c r="BH21" s="779">
        <f>IF(ISNUMBER(STDEV(BH8:BH18)),STDEV(BH8:BH18),"-")</f>
        <v>4.0262055467100781</v>
      </c>
      <c r="BI21" s="252">
        <f>IF(ISNUMBER(STDEV(BI8:BI18)),STDEV(BI8:BI18),"-")</f>
        <v>6.1658204256069632E-2</v>
      </c>
      <c r="BJ21" s="233" t="str">
        <f>IF(ISNUMBER(BL21/BM21),BL21/BM21," - ")</f>
        <v xml:space="preserve"> - </v>
      </c>
      <c r="BK21" s="578"/>
      <c r="BL21" s="562">
        <f>IF(ISNUMBER(STDEV(BL8:BL18)),STDEV(BL8:BL18),"-")</f>
        <v>0.8301512003751832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nZ05W58m6b8DCYC0nfHHO+sIZWt2YcYJPkEOdTYWeMOPdJOsSVeH8tk0X4uyy8OFQJYClNyG/uc71NY3VtcyA==" saltValue="MrR5oOm5+Aq2QnK4nTJL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SABADELL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3259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3556</v>
      </c>
      <c r="AA9" s="335" t="str">
        <f>IF(ISNUMBER(IF(J_V="SI",Datos!L9,Datos!L9+Datos!AB9)-IF(Monitorios="SI",Datos!CD9,0)),
                          IF(J_V="SI",Datos!L9,Datos!L9+Datos!AB9)-IF(Monitorios="SI",Datos!CD9,0),
                          " - ")</f>
        <v xml:space="preserve"> - </v>
      </c>
      <c r="AB9" s="337"/>
      <c r="AC9" s="337"/>
      <c r="AD9" s="487"/>
      <c r="AE9" s="487">
        <f>IF(ISNUMBER(Datos!R9),Datos!R9," - ")</f>
        <v>17065</v>
      </c>
      <c r="AF9" s="232" t="str">
        <f>IF(ISNUMBER(Datos!BV9),Datos!BV9," - ")</f>
        <v xml:space="preserve"> - </v>
      </c>
      <c r="AG9" s="228" t="str">
        <f>IF(ISNUMBER(Datos!DV9),Datos!DV9," - ")</f>
        <v xml:space="preserve"> - </v>
      </c>
      <c r="AH9" s="301"/>
      <c r="AI9" s="230"/>
      <c r="AJ9" s="228">
        <f>IF(ISNUMBER(Datos!M9),Datos!M9," - ")</f>
        <v>2714</v>
      </c>
      <c r="AK9" s="232">
        <f>IF(ISNUMBER(Datos!N9),Datos!N9," - ")</f>
        <v>6528</v>
      </c>
      <c r="AL9" s="232" t="str">
        <f>IF(ISNUMBER(Datos!BW9),Datos!BW9," - ")</f>
        <v xml:space="preserve"> - </v>
      </c>
      <c r="AM9" s="231" t="str">
        <f>IF(ISNUMBER(Datos!BX9),Datos!BX9," - ")</f>
        <v xml:space="preserve"> - </v>
      </c>
      <c r="AN9" s="246"/>
      <c r="AO9" s="263">
        <f>IF(ISNUMBER(((NºAsuntos!I9/NºAsuntos!G9)*11)/factor_trimestre),((NºAsuntos!I9/NºAsuntos!G9)*11)/factor_trimestre," - ")</f>
        <v>12.587726199842644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-1.7106324156203202E-2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115</v>
      </c>
      <c r="G10" s="228">
        <f>IF(ISNUMBER(Datos!I10),Datos!I10," - ")</f>
        <v>115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152</v>
      </c>
      <c r="Z10" s="622">
        <f>IF(ISNUMBER(Datos!Q10),Datos!Q10," - ")</f>
        <v>48</v>
      </c>
      <c r="AA10" s="335">
        <f>IF(ISNUMBER(Datos!L10),Datos!L10,"-")</f>
        <v>135</v>
      </c>
      <c r="AB10" s="337"/>
      <c r="AC10" s="337"/>
      <c r="AD10" s="487"/>
      <c r="AE10" s="487">
        <f>IF(ISNUMBER(Datos!R10),Datos!R10," - ")</f>
        <v>142</v>
      </c>
      <c r="AF10" s="232" t="str">
        <f>IF(ISNUMBER(Datos!BV10),Datos!BV10," - ")</f>
        <v xml:space="preserve"> - </v>
      </c>
      <c r="AG10" s="228" t="str">
        <f>IF(ISNUMBER(Datos!DV10),Datos!DV10," - ")</f>
        <v xml:space="preserve"> - </v>
      </c>
      <c r="AH10" s="301"/>
      <c r="AI10" s="230"/>
      <c r="AJ10" s="228">
        <f>IF(ISNUMBER(Datos!M10),Datos!M10," - ")</f>
        <v>59</v>
      </c>
      <c r="AK10" s="232">
        <f>IF(ISNUMBER(Datos!N10),Datos!N10," - ")</f>
        <v>56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9.7697368421052637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-5.3333333333333337E-2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239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176</v>
      </c>
      <c r="AA11" s="335" t="str">
        <f>IF(ISNUMBER(IF(J_V="SI",Datos!L11,Datos!L11+Datos!AB11)-IF(Monitorios="SI",Datos!CD11,0)),
                          IF(J_V="SI",Datos!L11,Datos!L11+Datos!AB11)-IF(Monitorios="SI",Datos!CD11,0),
                          " - ")</f>
        <v xml:space="preserve"> - </v>
      </c>
      <c r="AB11" s="337"/>
      <c r="AC11" s="337"/>
      <c r="AD11" s="487"/>
      <c r="AE11" s="487">
        <f>IF(ISNUMBER(Datos!R11),Datos!R11," - ")</f>
        <v>852</v>
      </c>
      <c r="AF11" s="232" t="str">
        <f>IF(ISNUMBER(Datos!BV11),Datos!BV11," - ")</f>
        <v xml:space="preserve"> - </v>
      </c>
      <c r="AG11" s="228" t="str">
        <f>IF(ISNUMBER(Datos!DV11),Datos!DV11," - ")</f>
        <v xml:space="preserve"> - </v>
      </c>
      <c r="AH11" s="301"/>
      <c r="AI11" s="230"/>
      <c r="AJ11" s="228">
        <f>IF(ISNUMBER(Datos!M11),Datos!M11," - ")</f>
        <v>744</v>
      </c>
      <c r="AK11" s="232">
        <f>IF(ISNUMBER(Datos!N11),Datos!N11," - ")</f>
        <v>1365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5.0727133562954458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7.9847908745247151E-2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11</v>
      </c>
      <c r="F13" s="901">
        <f>SUBTOTAL(9,F8:F12)</f>
        <v>115</v>
      </c>
      <c r="G13" s="901">
        <f>SUBTOTAL(9,G8:G12)</f>
        <v>115</v>
      </c>
      <c r="H13" s="911"/>
      <c r="I13" s="901">
        <f t="shared" ref="I13:N13" si="0">SUBTOTAL(9,I8:I12)</f>
        <v>0</v>
      </c>
      <c r="J13" s="870">
        <f t="shared" si="0"/>
        <v>0</v>
      </c>
      <c r="K13" s="911">
        <f t="shared" si="0"/>
        <v>0</v>
      </c>
      <c r="L13" s="911">
        <f t="shared" si="0"/>
        <v>0</v>
      </c>
      <c r="M13" s="911">
        <f t="shared" si="0"/>
        <v>0</v>
      </c>
      <c r="N13" s="911">
        <f t="shared" si="0"/>
        <v>3538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152</v>
      </c>
      <c r="Z13" s="910">
        <f t="shared" si="2"/>
        <v>3780</v>
      </c>
      <c r="AA13" s="903">
        <f t="shared" si="2"/>
        <v>135</v>
      </c>
      <c r="AB13" s="903">
        <f t="shared" si="2"/>
        <v>0</v>
      </c>
      <c r="AC13" s="903">
        <f t="shared" si="2"/>
        <v>0</v>
      </c>
      <c r="AD13" s="903">
        <f t="shared" si="2"/>
        <v>0</v>
      </c>
      <c r="AE13" s="903">
        <f t="shared" si="2"/>
        <v>18059</v>
      </c>
      <c r="AF13" s="911">
        <f t="shared" si="2"/>
        <v>0</v>
      </c>
      <c r="AG13" s="911">
        <f t="shared" si="2"/>
        <v>0</v>
      </c>
      <c r="AH13" s="911">
        <f t="shared" si="2"/>
        <v>0</v>
      </c>
      <c r="AI13" s="911">
        <f t="shared" si="2"/>
        <v>0</v>
      </c>
      <c r="AJ13" s="911">
        <f t="shared" si="2"/>
        <v>3517</v>
      </c>
      <c r="AK13" s="911">
        <f t="shared" si="2"/>
        <v>7949</v>
      </c>
      <c r="AL13" s="911">
        <f t="shared" si="2"/>
        <v>0</v>
      </c>
      <c r="AM13" s="911">
        <f t="shared" si="2"/>
        <v>0</v>
      </c>
      <c r="AN13" s="911">
        <f t="shared" si="2"/>
        <v>0</v>
      </c>
      <c r="AO13" s="907">
        <f>IF(ISNUMBER(((NºAsuntos!I13/NºAsuntos!G13)*11)/factor_trimestre),((NºAsuntos!I13/NºAsuntos!G13)*11)/factor_trimestre," - ")</f>
        <v>11.389525856921056</v>
      </c>
      <c r="AP13" s="913" t="str">
        <f>IF(ISNUMBER(Datos!CI13/Datos!CJ13),Datos!CI13/Datos!CJ13," - ")</f>
        <v xml:space="preserve"> - </v>
      </c>
      <c r="AQ13" s="931">
        <f t="shared" ref="AQ13:AV13" si="3">SUBTOTAL(9,AQ9:AQ12)</f>
        <v>0</v>
      </c>
      <c r="AR13" s="931">
        <f t="shared" si="3"/>
        <v>9.4082512557106118E-3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5765</v>
      </c>
      <c r="G15" s="228">
        <f>IF(ISNUMBER(IF(D_I="SI",Datos!I15,Datos!I15+Datos!AC15)),IF(D_I="SI",Datos!I15,Datos!I15+Datos!AC15)," - ")</f>
        <v>5787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358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13248</v>
      </c>
      <c r="Z15" s="622">
        <f>IF(ISNUMBER(Datos!Q15),Datos!Q15," - ")</f>
        <v>396</v>
      </c>
      <c r="AA15" s="335">
        <f>IF(ISNUMBER(IF(D_I="SI",Datos!L15,Datos!L15+Datos!AF15)),IF(D_I="SI",Datos!L15,Datos!L15+Datos!AF15)," - ")</f>
        <v>6299</v>
      </c>
      <c r="AB15" s="337"/>
      <c r="AC15" s="337"/>
      <c r="AD15" s="487"/>
      <c r="AE15" s="487">
        <f>IF(ISNUMBER(Datos!R15),Datos!R15," - ")</f>
        <v>559</v>
      </c>
      <c r="AF15" s="232" t="str">
        <f>IF(ISNUMBER(Datos!BV15),Datos!BV15," - ")</f>
        <v xml:space="preserve"> - </v>
      </c>
      <c r="AG15" s="228"/>
      <c r="AH15" s="301"/>
      <c r="AI15" s="230"/>
      <c r="AJ15" s="228">
        <f>IF(ISNUMBER(Datos!M15),Datos!M15," - ")</f>
        <v>1648</v>
      </c>
      <c r="AK15" s="232">
        <f>IF(ISNUMBER(Datos!N15),Datos!N15," - ")</f>
        <v>8175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5.230147946859903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1140</v>
      </c>
      <c r="Z17" s="622">
        <f>IF(ISNUMBER(Datos!Q17),Datos!Q17," - ")</f>
        <v>7</v>
      </c>
      <c r="AA17" s="335">
        <f>IF(ISNUMBER(Datos!L17),Datos!L17,"-")</f>
        <v>242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118</v>
      </c>
      <c r="AK17" s="232">
        <f>IF(ISNUMBER(Datos!N17),Datos!N17," - ")</f>
        <v>480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2.3350877192982455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5765</v>
      </c>
      <c r="G18" s="901">
        <f>SUBTOTAL(9,G15:G17)</f>
        <v>6006</v>
      </c>
      <c r="H18" s="935">
        <f>SUBTOTAL(9,H15:H17)</f>
        <v>0</v>
      </c>
      <c r="I18" s="914">
        <f>SUBTOTAL(9,I15:I17)</f>
        <v>0</v>
      </c>
      <c r="J18" s="870">
        <f>SUBTOTAL(9,J14:J17)</f>
        <v>0</v>
      </c>
      <c r="K18" s="935">
        <f t="shared" ref="K18:S18" si="4">SUBTOTAL(9,K15:K17)</f>
        <v>0</v>
      </c>
      <c r="L18" s="935">
        <f t="shared" si="4"/>
        <v>0</v>
      </c>
      <c r="M18" s="935">
        <f t="shared" si="4"/>
        <v>0</v>
      </c>
      <c r="N18" s="935">
        <f t="shared" si="4"/>
        <v>372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14388</v>
      </c>
      <c r="Z18" s="935">
        <f t="shared" si="5"/>
        <v>403</v>
      </c>
      <c r="AA18" s="935">
        <f t="shared" si="5"/>
        <v>6541</v>
      </c>
      <c r="AB18" s="935">
        <f t="shared" si="5"/>
        <v>0</v>
      </c>
      <c r="AC18" s="935">
        <f t="shared" si="5"/>
        <v>0</v>
      </c>
      <c r="AD18" s="935">
        <f t="shared" si="5"/>
        <v>0</v>
      </c>
      <c r="AE18" s="935">
        <f t="shared" si="5"/>
        <v>573</v>
      </c>
      <c r="AF18" s="935">
        <f t="shared" si="5"/>
        <v>0</v>
      </c>
      <c r="AG18" s="935">
        <f t="shared" si="5"/>
        <v>0</v>
      </c>
      <c r="AH18" s="935">
        <f t="shared" si="5"/>
        <v>0</v>
      </c>
      <c r="AI18" s="935">
        <f t="shared" si="5"/>
        <v>0</v>
      </c>
      <c r="AJ18" s="935">
        <f t="shared" si="5"/>
        <v>1766</v>
      </c>
      <c r="AK18" s="935">
        <f t="shared" si="5"/>
        <v>8655</v>
      </c>
      <c r="AL18" s="935">
        <f t="shared" si="5"/>
        <v>0</v>
      </c>
      <c r="AM18" s="935">
        <f t="shared" si="5"/>
        <v>0</v>
      </c>
      <c r="AN18" s="935">
        <f t="shared" si="5"/>
        <v>0</v>
      </c>
      <c r="AO18" s="937">
        <f>IF(ISNUMBER(((NºAsuntos!I18/NºAsuntos!G18)*11)/factor_trimestre),((NºAsuntos!I18/NºAsuntos!G18)*11)/factor_trimestre," - ")</f>
        <v>5.0007645259938833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17</v>
      </c>
      <c r="F19" s="823">
        <f t="shared" si="7"/>
        <v>5880</v>
      </c>
      <c r="G19" s="823">
        <f t="shared" si="7"/>
        <v>6121</v>
      </c>
      <c r="H19" s="824">
        <f t="shared" si="7"/>
        <v>0</v>
      </c>
      <c r="I19" s="823">
        <f t="shared" si="7"/>
        <v>0</v>
      </c>
      <c r="J19" s="825">
        <f t="shared" si="7"/>
        <v>0</v>
      </c>
      <c r="K19" s="823">
        <f t="shared" si="7"/>
        <v>0</v>
      </c>
      <c r="L19" s="826">
        <f t="shared" si="7"/>
        <v>0</v>
      </c>
      <c r="M19" s="823">
        <f t="shared" si="7"/>
        <v>0</v>
      </c>
      <c r="N19" s="824">
        <f t="shared" si="7"/>
        <v>3910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14540</v>
      </c>
      <c r="Z19" s="830">
        <f t="shared" si="8"/>
        <v>4183</v>
      </c>
      <c r="AA19" s="831">
        <f t="shared" si="8"/>
        <v>6676</v>
      </c>
      <c r="AB19" s="831">
        <f t="shared" si="8"/>
        <v>0</v>
      </c>
      <c r="AC19" s="831">
        <f t="shared" si="8"/>
        <v>0</v>
      </c>
      <c r="AD19" s="832">
        <f t="shared" si="8"/>
        <v>0</v>
      </c>
      <c r="AE19" s="832">
        <f t="shared" si="8"/>
        <v>18632</v>
      </c>
      <c r="AF19" s="833">
        <f t="shared" si="8"/>
        <v>0</v>
      </c>
      <c r="AG19" s="834">
        <f t="shared" si="8"/>
        <v>0</v>
      </c>
      <c r="AH19" s="835">
        <f t="shared" si="8"/>
        <v>0</v>
      </c>
      <c r="AI19" s="833">
        <f t="shared" si="8"/>
        <v>0</v>
      </c>
      <c r="AJ19" s="823">
        <f t="shared" si="8"/>
        <v>5283</v>
      </c>
      <c r="AK19" s="823">
        <f t="shared" si="8"/>
        <v>16604</v>
      </c>
      <c r="AL19" s="823">
        <f t="shared" si="8"/>
        <v>0</v>
      </c>
      <c r="AM19" s="836">
        <f t="shared" si="8"/>
        <v>0</v>
      </c>
      <c r="AN19" s="826">
        <f>IF(ISNUMBER(Datos!K19/Datos!J19),Datos!K19/Datos!J19," - ")</f>
        <v>0.92798140645120764</v>
      </c>
      <c r="AO19" s="826">
        <f>IF(ISNUMBER(FIND("06",Criterios!A8,1)),(IF(ISNUMBER(((Datos!R19/Datos!Q19)*11)/factor_trimestre),((Datos!R19/Datos!Q19)*11)/factor_trimestre," - ")),(IF(ISNUMBER(((Datos!L19/Datos!K19)*11)/factor_trimestre),((Datos!L19/Datos!K19)*11)/factor_trimestre," - ")))</f>
        <v>8.7040208488458681</v>
      </c>
      <c r="AP19" s="837" t="str">
        <f>IF(ISNUMBER(Datos!CI19/Datos!CJ19),Datos!CI19/Datos!CJ19," - ")</f>
        <v xml:space="preserve"> - </v>
      </c>
      <c r="AQ19" s="837">
        <f>IF(OR(ISNUMBER(FIND("01",Criterios!A8,1)),ISNUMBER(FIND("02",Criterios!A8,1)),ISNUMBER(FIND("03",Criterios!A8,1)),ISNUMBER(FIND("04",Criterios!A8,1))),(J19-Y19+K19)/(F19-K19),(I19-Y19+K19)/(F19-K19))</f>
        <v>-2.4727891156462585</v>
      </c>
      <c r="AR19" s="837">
        <f>IF(ISNUMBER((Datos!P19-Datos!Q19+O19)/(Datos!R19-Datos!P19+Datos!Q19-O19)),(Datos!P19-Datos!Q19+O19)/(Datos!R19-Datos!P19+Datos!Q19-O19)," - ")</f>
        <v>-1.4440624173499074E-2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2448.4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3262.0290209213858</v>
      </c>
      <c r="G21" s="555">
        <f>IF(ISNUMBER(STDEV(G8:G18)),STDEV(G8:G18),"-")</f>
        <v>3148.9086680943924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1303.3331445621591</v>
      </c>
      <c r="AK21" s="255"/>
      <c r="AL21" s="255">
        <f>IF(ISNUMBER(STDEV(AL8:AL18)),STDEV(AL8:AL18),"-")</f>
        <v>0</v>
      </c>
      <c r="AM21" s="257">
        <f>IF(ISNUMBER(STDEV(AM8:AM18)),STDEV(AM8:AM18),"-")</f>
        <v>0</v>
      </c>
      <c r="AN21" s="542">
        <f>IF(ISNUMBER(STDEV(AN8:AN18)),STDEV(AN8:AN18),"-")</f>
        <v>0</v>
      </c>
      <c r="AO21" s="543">
        <f>IF(ISNUMBER(STDEV(AO8:AO18)),STDEV(AO8:AO18),"-")</f>
        <v>3.8719964781768663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M8TCkWJPFgqAROeZxefKphiHr2XP7rnBonoI+6xGqr2BCMvldu7PvS5KaVTCLXPkZdhYUVMWJDzF3n+CPML1A==" saltValue="9yFwLhzS2k/S1g6kCurC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H8MtInGDka+1Y7gBdMdi+ngWw60juBSL8VPdLzRQJqXjaIOgRR+7qQRkin799uPvP1j44dNpapD2ipIHYJ7SQ==" saltValue="0xFu4xHX+aEuMB8bT0wW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23UJTIeRORRzAC5LQP3682F7Eq0bKYCoNiHvXxcxnW7PB9OhjPM9VdgRbh71C7PMkJU6algb0RrvKGiQdolTg==" saltValue="YlTUB2cQCfA+gYryL97c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SABADELL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0.21002030335602531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0.14850678068990134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mR80u+WaAEK+EgdwtXcCa3+u+wLHSfMRmnzI/PAkIVkPFJJesv/zi1JZ2tGuVU5IJJjEBLc3nmwAZxSkcUpVA==" saltValue="55z4Mf7FJrvCrgLJjBIv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WHSCbTsGCP2T+GLlSyPSgribOqsrTRCo67Kro4Os2rRW9YQBTsQ7BI6I/XYflnJVDadQSG9Y2ghE1W9D9zBqQ==" saltValue="AFjADkO693FtNM0jEUCH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SABADELL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15002</v>
      </c>
      <c r="D9" s="407">
        <f>IF(ISNUMBER(C9/Datos!BH9),C9/Datos!BH9," - ")</f>
        <v>1875.25</v>
      </c>
      <c r="E9" s="406">
        <f>IF(ISNUMBER(IF(J_V="SI",Datos!J9,Datos!J9+Datos!Z9)),IF(J_V="SI",Datos!J9,Datos!J9+Datos!Z9)," - ")</f>
        <v>15620</v>
      </c>
      <c r="F9" s="407">
        <f>IF(ISNUMBER(E9/B9),E9/B9," - ")</f>
        <v>1952.5</v>
      </c>
      <c r="G9" s="406">
        <f>IF(ISNUMBER(IF(J_V="SI",Datos!K9,Datos!K9+Datos!AA9)),IF(J_V="SI",Datos!K9,Datos!K9+Datos!AA9)," - ")</f>
        <v>13981</v>
      </c>
      <c r="H9" s="407">
        <f>IF(ISNUMBER(G9/B9),G9/B9," - ")</f>
        <v>1747.625</v>
      </c>
      <c r="I9" s="406">
        <f>IF(ISNUMBER(IF(J_V="SI",Datos!L9,Datos!L9+Datos!AB9)),IF(J_V="SI",Datos!L9,Datos!L9+Datos!AB9)," - ")</f>
        <v>15999</v>
      </c>
      <c r="J9" s="407">
        <f>IF(ISNUMBER(I9/B9),I9/B9," - ")</f>
        <v>1999.875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115</v>
      </c>
      <c r="D10" s="407">
        <f>IF(ISNUMBER(C10/Datos!BH10),C10/Datos!BH10," - ")</f>
        <v>115</v>
      </c>
      <c r="E10" s="406">
        <f>IF(ISNUMBER(Datos!J10),Datos!J10," - ")</f>
        <v>172</v>
      </c>
      <c r="F10" s="407">
        <f>IF(ISNUMBER(E10/B10),E10/B10," - ")</f>
        <v>172</v>
      </c>
      <c r="G10" s="406">
        <f>IF(ISNUMBER(Datos!K10),Datos!K10," - ")</f>
        <v>152</v>
      </c>
      <c r="H10" s="407">
        <f>IF(ISNUMBER(G10/B10),G10/B10," - ")</f>
        <v>152</v>
      </c>
      <c r="I10" s="406">
        <f>IF(ISNUMBER(Datos!L10),Datos!L10," - ")</f>
        <v>135</v>
      </c>
      <c r="J10" s="407">
        <f>IF(ISNUMBER(I10/B10),I10/B10," - ")</f>
        <v>135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1095</v>
      </c>
      <c r="D11" s="407">
        <f>IF(ISNUMBER(C11/Datos!BH11),C11/Datos!BH11," - ")</f>
        <v>547.5</v>
      </c>
      <c r="E11" s="406">
        <f>IF(ISNUMBER(IF(J_V="SI",Datos!J11,Datos!J11+Datos!Z11)),IF(J_V="SI",Datos!J11,Datos!J11+Datos!Z11)," - ")</f>
        <v>2722</v>
      </c>
      <c r="F11" s="407">
        <f>IF(ISNUMBER(E11/B11),E11/B11," - ")</f>
        <v>1361</v>
      </c>
      <c r="G11" s="406">
        <f>IF(ISNUMBER(IF(J_V="SI",Datos!K11,Datos!K11+Datos!AA11)),IF(J_V="SI",Datos!K11,Datos!K11+Datos!AA11)," - ")</f>
        <v>2613</v>
      </c>
      <c r="H11" s="407">
        <f>IF(ISNUMBER(G11/B11),G11/B11," - ")</f>
        <v>1306.5</v>
      </c>
      <c r="I11" s="406">
        <f>IF(ISNUMBER(IF(J_V="SI",Datos!L11,Datos!L11+Datos!AB11)),IF(J_V="SI",Datos!L11,Datos!L11+Datos!AB11)," - ")</f>
        <v>1205</v>
      </c>
      <c r="J11" s="407">
        <f>IF(ISNUMBER(I11/B11),I11/B11," - ")</f>
        <v>602.5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16212</v>
      </c>
      <c r="D13" s="853" t="str">
        <f>IF(ISNUMBER(C13/Datos!BI13),C13/Datos!BI13," - ")</f>
        <v xml:space="preserve"> - </v>
      </c>
      <c r="E13" s="852">
        <f>SUBTOTAL(9,E8:E12)</f>
        <v>18514</v>
      </c>
      <c r="F13" s="853">
        <f>IF(ISNUMBER(E13/B13),E13/B13," - ")</f>
        <v>1683.090909090909</v>
      </c>
      <c r="G13" s="852">
        <f>SUBTOTAL(9,G8:G12)</f>
        <v>16746</v>
      </c>
      <c r="H13" s="853">
        <f>IF(ISNUMBER(G13/B13),G13/B13," - ")</f>
        <v>1522.3636363636363</v>
      </c>
      <c r="I13" s="852">
        <f>SUBTOTAL(9,I8:I12)</f>
        <v>17339</v>
      </c>
      <c r="J13" s="853">
        <f>IF(ISNUMBER(I13/B13),I13/B13," - ")</f>
        <v>1576.2727272727273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5787</v>
      </c>
      <c r="D15" s="407">
        <f>IF(ISNUMBER(C15/Datos!BH15),C15/Datos!BH15," - ")</f>
        <v>1157.4000000000001</v>
      </c>
      <c r="E15" s="406">
        <f>IF(ISNUMBER(IF(D_I="SI",Datos!J15,Datos!J15+Datos!AD15)),IF(D_I="SI",Datos!J15,Datos!J15+Datos!AD15)," - ")</f>
        <v>13782</v>
      </c>
      <c r="F15" s="407">
        <f>IF(ISNUMBER(E15/B15),E15/B15," - ")</f>
        <v>2756.4</v>
      </c>
      <c r="G15" s="406">
        <f>IF(ISNUMBER(IF(D_I="SI",Datos!K15,Datos!K15+Datos!AE15)),IF(D_I="SI",Datos!K15,Datos!K15+Datos!AE15)," - ")</f>
        <v>13248</v>
      </c>
      <c r="H15" s="407">
        <f>IF(ISNUMBER(G15/B15),G15/B15," - ")</f>
        <v>2649.6</v>
      </c>
      <c r="I15" s="406">
        <f>IF(ISNUMBER(IF(D_I="SI",Datos!L15,Datos!L15+Datos!AF15)),IF(D_I="SI",Datos!L15,Datos!L15+Datos!AF15)," - ")</f>
        <v>6299</v>
      </c>
      <c r="J15" s="407">
        <f>IF(ISNUMBER(I15/B15),I15/B15," - ")</f>
        <v>1259.8</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219</v>
      </c>
      <c r="D17" s="407">
        <f>IF(ISNUMBER(C17/Datos!BH17),C17/Datos!BH17," - ")</f>
        <v>219</v>
      </c>
      <c r="E17" s="406">
        <f>IF(ISNUMBER(IF(D_I="SI",Datos!J17,Datos!J17+Datos!AD17)),IF(D_I="SI",Datos!J17,Datos!J17+Datos!AD17)," - ")</f>
        <v>1163</v>
      </c>
      <c r="F17" s="407">
        <f>IF(ISNUMBER(E17/B17),E17/B17," - ")</f>
        <v>1163</v>
      </c>
      <c r="G17" s="406">
        <f>IF(ISNUMBER(IF(D_I="SI",Datos!K17,Datos!K17+Datos!AE17)),IF(D_I="SI",Datos!K17,Datos!K17+Datos!AE17)," - ")</f>
        <v>1140</v>
      </c>
      <c r="H17" s="407">
        <f>IF(ISNUMBER(G17/B17),G17/B17," - ")</f>
        <v>1140</v>
      </c>
      <c r="I17" s="406">
        <f>IF(ISNUMBER(IF(D_I="SI",Datos!L17,Datos!L17+Datos!AF17)),IF(D_I="SI",Datos!L17,Datos!L17+Datos!AF17)," - ")</f>
        <v>242</v>
      </c>
      <c r="J17" s="407">
        <f>IF(ISNUMBER(I17/B17),I17/B17," - ")</f>
        <v>242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6006</v>
      </c>
      <c r="D18" s="853" t="str">
        <f>IF(ISNUMBER(C18/Datos!BI18),C18/Datos!BI18," - ")</f>
        <v xml:space="preserve"> - </v>
      </c>
      <c r="E18" s="852">
        <f>SUBTOTAL(9,E14:E17)</f>
        <v>14945</v>
      </c>
      <c r="F18" s="853">
        <f>IF(ISNUMBER(E18/B18),E18/B18," - ")</f>
        <v>2490.8333333333335</v>
      </c>
      <c r="G18" s="852">
        <f>SUBTOTAL(9,G14:G17)</f>
        <v>14388</v>
      </c>
      <c r="H18" s="853">
        <f>IF(ISNUMBER(G18/B18),G18/B18," - ")</f>
        <v>2398</v>
      </c>
      <c r="I18" s="852">
        <f>SUBTOTAL(9,I14:I17)</f>
        <v>6541</v>
      </c>
      <c r="J18" s="853">
        <f>IF(ISNUMBER(I18/B18),I18/B18," - ")</f>
        <v>1090.1666666666667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16</v>
      </c>
      <c r="C19" s="797">
        <f>SUBTOTAL(9,C9:C18)</f>
        <v>22218</v>
      </c>
      <c r="D19" s="798" t="str">
        <f>IF(ISNUMBER(C19/Datos!BI19),C19/Datos!BI19," - ")</f>
        <v xml:space="preserve"> - </v>
      </c>
      <c r="E19" s="797">
        <f>SUBTOTAL(9,E9:E18)</f>
        <v>33459</v>
      </c>
      <c r="F19" s="798">
        <f>IF(ISNUMBER(E19/B19),E19/B19," - ")</f>
        <v>2091.1875</v>
      </c>
      <c r="G19" s="797">
        <f>SUBTOTAL(9,G9:G18)</f>
        <v>31134</v>
      </c>
      <c r="H19" s="798">
        <f>IF(ISNUMBER(G19/B19),G19/B19," - ")</f>
        <v>1945.875</v>
      </c>
      <c r="I19" s="797">
        <f>SUBTOTAL(9,I9:I18)</f>
        <v>23880</v>
      </c>
      <c r="J19" s="798">
        <f>IF(ISNUMBER(I19/B19),I19/B19," - ")</f>
        <v>1492.5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PCDMUjRKPKTKj1EstxEpJ1Zomi/XQPenBvDuMVOEWGZ/10P59TKQRncumJ8RNN6T+Z5Fh7955Ku66yN+cbug==" saltValue="avUgrbXrcwn++ueT8WB/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SABADELL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115</v>
      </c>
      <c r="G10" s="687">
        <f>IF(ISNUMBER(Datos!I10),Datos!I10," - ")</f>
        <v>115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152</v>
      </c>
      <c r="AC10" s="686" t="str">
        <f>IF(ISNUMBER(IF(D_I="SI",DatosP!K17,DatosP!K17+DatosP!AE17)),IF(D_I="SI",DatosP!K17,DatosP!K17+DatosP!AE17)," - ")</f>
        <v xml:space="preserve"> - </v>
      </c>
      <c r="AD10" s="688"/>
      <c r="AE10" s="688"/>
      <c r="AF10" s="691">
        <f>IF(ISNUMBER(Datos!L10),Datos!L10,"-")</f>
        <v>135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59</v>
      </c>
      <c r="AM10" s="693">
        <f>IF(ISNUMBER(Datos!N10+DatosP!N17),Datos!N10+DatosP!N17," - ")</f>
        <v>56</v>
      </c>
      <c r="AN10" s="693">
        <f>IF(ISNUMBER(Datos!BW10+DatosP!BW17),Datos!BW10+DatosP!BW17," - ")</f>
        <v>0</v>
      </c>
      <c r="AO10" s="694">
        <f>IF(ISNUMBER(Datos!BX10+DatosP!BX17),Datos!BX10+DatosP!BX17," - ")</f>
        <v>0</v>
      </c>
      <c r="AP10" s="696">
        <f>IF(ISNUMBER(((Datos!L10/Datos!K10)*11)/factor_trimestre),((Datos!L10/Datos!K10)*11)/factor_trimestre," - ")</f>
        <v>9.7697368421052637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115</v>
      </c>
      <c r="G13" s="941">
        <f t="shared" si="0"/>
        <v>115</v>
      </c>
      <c r="H13" s="941">
        <f t="shared" si="0"/>
        <v>0</v>
      </c>
      <c r="I13" s="943">
        <f t="shared" si="0"/>
        <v>0</v>
      </c>
      <c r="J13" s="942">
        <f t="shared" si="0"/>
        <v>0</v>
      </c>
      <c r="K13" s="942">
        <f t="shared" si="0"/>
        <v>0</v>
      </c>
      <c r="L13" s="944">
        <f t="shared" si="0"/>
        <v>0</v>
      </c>
      <c r="M13" s="944">
        <f t="shared" si="0"/>
        <v>0</v>
      </c>
      <c r="N13" s="942">
        <f t="shared" si="0"/>
        <v>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152</v>
      </c>
      <c r="AC13" s="942">
        <f t="shared" si="1"/>
        <v>0</v>
      </c>
      <c r="AD13" s="942">
        <f t="shared" si="1"/>
        <v>0</v>
      </c>
      <c r="AE13" s="942">
        <f t="shared" si="1"/>
        <v>0</v>
      </c>
      <c r="AF13" s="942">
        <f t="shared" si="1"/>
        <v>135</v>
      </c>
      <c r="AG13" s="942">
        <f t="shared" si="1"/>
        <v>0</v>
      </c>
      <c r="AH13" s="942">
        <f t="shared" si="1"/>
        <v>0</v>
      </c>
      <c r="AI13" s="942">
        <f t="shared" si="1"/>
        <v>0</v>
      </c>
      <c r="AJ13" s="942">
        <f t="shared" si="1"/>
        <v>0</v>
      </c>
      <c r="AK13" s="942">
        <f t="shared" si="1"/>
        <v>0</v>
      </c>
      <c r="AL13" s="942">
        <f t="shared" si="1"/>
        <v>59</v>
      </c>
      <c r="AM13" s="942">
        <f t="shared" si="1"/>
        <v>56</v>
      </c>
      <c r="AN13" s="942">
        <f t="shared" si="1"/>
        <v>0</v>
      </c>
      <c r="AO13" s="942">
        <f t="shared" si="1"/>
        <v>0</v>
      </c>
      <c r="AP13" s="947">
        <f>IF(ISNUMBER(((Datos!L13/Datos!K13)*11)/factor_trimestre),((Datos!L13/Datos!K13)*11)/factor_trimestre," - ")</f>
        <v>12.219158200290275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-1.3217391304347825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5.0007645259938833</v>
      </c>
      <c r="AQ18" s="947">
        <f>IF(ISNUMBER(((Datos!M18/Datos!L18)*11)/factor_trimestre),((Datos!M18/Datos!L18)*11)/factor_trimestre," - ")</f>
        <v>2.9698822809967895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-5.1324503311258277E-2</v>
      </c>
      <c r="AW18" s="949">
        <f>IF(ISNUMBER((Datos!Q18-Datos!R18)/(Datos!S18-Datos!Q18+Datos!R18)),(Datos!Q18-Datos!R18)/(Datos!S18-Datos!Q18+Datos!R18)," - ")</f>
        <v>-3.3457980712458174E-2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115</v>
      </c>
      <c r="G19" s="954">
        <f t="shared" si="4"/>
        <v>115</v>
      </c>
      <c r="H19" s="954">
        <f t="shared" si="4"/>
        <v>0</v>
      </c>
      <c r="I19" s="955">
        <f t="shared" si="4"/>
        <v>0</v>
      </c>
      <c r="J19" s="956">
        <f t="shared" si="4"/>
        <v>0</v>
      </c>
      <c r="K19" s="956">
        <f t="shared" si="4"/>
        <v>0</v>
      </c>
      <c r="L19" s="956">
        <f t="shared" si="4"/>
        <v>0</v>
      </c>
      <c r="M19" s="956">
        <f t="shared" si="4"/>
        <v>0</v>
      </c>
      <c r="N19" s="955">
        <f t="shared" si="4"/>
        <v>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152</v>
      </c>
      <c r="AC19" s="960">
        <f t="shared" si="5"/>
        <v>0</v>
      </c>
      <c r="AD19" s="960">
        <f t="shared" si="5"/>
        <v>0</v>
      </c>
      <c r="AE19" s="960">
        <f t="shared" si="5"/>
        <v>0</v>
      </c>
      <c r="AF19" s="961">
        <f t="shared" si="5"/>
        <v>135</v>
      </c>
      <c r="AG19" s="961">
        <f t="shared" si="5"/>
        <v>0</v>
      </c>
      <c r="AH19" s="961">
        <f t="shared" si="5"/>
        <v>0</v>
      </c>
      <c r="AI19" s="961">
        <f t="shared" si="5"/>
        <v>0</v>
      </c>
      <c r="AJ19" s="962">
        <f t="shared" si="5"/>
        <v>0</v>
      </c>
      <c r="AK19" s="962">
        <f t="shared" si="5"/>
        <v>0</v>
      </c>
      <c r="AL19" s="954">
        <f t="shared" si="5"/>
        <v>59</v>
      </c>
      <c r="AM19" s="954">
        <f t="shared" si="5"/>
        <v>56</v>
      </c>
      <c r="AN19" s="954">
        <f t="shared" si="5"/>
        <v>0</v>
      </c>
      <c r="AO19" s="954">
        <f t="shared" si="5"/>
        <v>0</v>
      </c>
      <c r="AP19" s="954">
        <f>IF(ISNUMBER(((Datos!L19/Datos!K19)*11)/factor_trimestre),((Datos!L19/Datos!K19)*11)/factor_trimestre," - ")</f>
        <v>8.7040208488458681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-1.3217391304347825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-1.4440624173499074E-2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76.666666666666671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4.6761807778000488</v>
      </c>
      <c r="F21" s="739">
        <f>IF(ISNUMBER(STDEV(F8:F18)),STDEV(F8:F18),"-")</f>
        <v>66.395280956806971</v>
      </c>
      <c r="G21" s="740">
        <f>IF(ISNUMBER(STDEV(G8:G18)),STDEV(G8:G18),"-")</f>
        <v>66.395280956806971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87.757240916823122</v>
      </c>
      <c r="AC21" s="741">
        <f>IF(ISNUMBER(STDEV(AC8:AC18)),STDEV(AC8:AC18),"-")</f>
        <v>0</v>
      </c>
      <c r="AD21" s="744"/>
      <c r="AE21" s="744"/>
      <c r="AF21" s="744"/>
      <c r="AG21" s="744"/>
      <c r="AH21" s="744"/>
      <c r="AI21" s="744"/>
      <c r="AJ21" s="745">
        <f>IF(ISNUMBER(STDEV(AJ8:AJ18)),STDEV(AJ8:AJ18),"-")</f>
        <v>0</v>
      </c>
      <c r="AK21" s="747"/>
      <c r="AL21" s="739">
        <f>IF(ISNUMBER(STDEV(AL8:AL18)),STDEV(AL8:AL18),"-")</f>
        <v>34.063665882187919</v>
      </c>
      <c r="AM21" s="739"/>
      <c r="AN21" s="739">
        <f>IF(ISNUMBER(STDEV(AN8:AN18)),STDEV(AN8:AN18),"-")</f>
        <v>0</v>
      </c>
      <c r="AO21" s="745">
        <f>IF(ISNUMBER(STDEV(AO8:AO18)),STDEV(AO8:AO18),"-")</f>
        <v>0</v>
      </c>
      <c r="AP21" s="782">
        <f>IF(ISNUMBER(STDEV(AP8:AP18)),STDEV(AP8:AP18),"-")</f>
        <v>3.6707848656404951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Ry8eNaCcwZB3JxSMY71fB3W+IhbsCNHE61uidMTWvQC1NMrSGimdIiRWxg+t7d7XGTtYirnC89BOaMurKG9Lw==" saltValue="OWH/565acKsXKAzDdrQS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SABADELL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a2X20LqW+uf5KgLmTcPv+jFwiQzojaWmFZJARekYdGqIh3y40302JXLfCSkuFPfKb50xEoZHtZ62WgRYjIGPQ==" saltValue="CrQw/2VmXPiO1R9MgpQU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SABADELL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2714</v>
      </c>
      <c r="E9" s="407">
        <f t="shared" ref="E9:E13" si="0">IF(ISNUMBER(D9/B9),D9/B9," - ")</f>
        <v>339.25</v>
      </c>
      <c r="F9" s="406">
        <f>IF(ISNUMBER(Datos!N9),Datos!N9," - ")</f>
        <v>6528</v>
      </c>
      <c r="G9" s="407">
        <f t="shared" ref="G9:G13" si="1">IF(ISNUMBER(F9/B9),F9/B9," - ")</f>
        <v>816</v>
      </c>
      <c r="H9" s="406">
        <f>IF(ISNUMBER(Datos!O9),Datos!O9," - ")</f>
        <v>6085</v>
      </c>
      <c r="I9" s="407">
        <f>IF(ISNUMBER(H9/B9),H9/B9," - ")</f>
        <v>760.625</v>
      </c>
    </row>
    <row r="10" spans="1:9">
      <c r="A10" s="405" t="str">
        <f>Datos!A10</f>
        <v>Jdos. Violencia contra la mujer</v>
      </c>
      <c r="B10" s="430">
        <f>Datos!AO10</f>
        <v>1</v>
      </c>
      <c r="C10" s="413">
        <f>Datos!AQ10</f>
        <v>1</v>
      </c>
      <c r="D10" s="406">
        <f>IF(ISNUMBER(Datos!M10),Datos!M10," - ")</f>
        <v>59</v>
      </c>
      <c r="E10" s="407">
        <f>IF(ISNUMBER(D10/B10),D10/B10," - ")</f>
        <v>59</v>
      </c>
      <c r="F10" s="406">
        <f>IF(ISNUMBER(Datos!N10),Datos!N10," - ")</f>
        <v>56</v>
      </c>
      <c r="G10" s="407">
        <f>IF(ISNUMBER(F10/B10),F10/B10," - ")</f>
        <v>56</v>
      </c>
      <c r="H10" s="406">
        <f>IF(ISNUMBER(Datos!O10),Datos!O10," - ")</f>
        <v>38</v>
      </c>
      <c r="I10" s="407">
        <f t="shared" ref="I10:I12" si="2">IF(ISNUMBER(H10/B10),H10/B10," - ")</f>
        <v>38</v>
      </c>
    </row>
    <row r="11" spans="1:9">
      <c r="A11" s="405" t="str">
        <f>Datos!A11</f>
        <v xml:space="preserve">Jdos. Familia                                   </v>
      </c>
      <c r="B11" s="430">
        <f>Datos!AO11</f>
        <v>2</v>
      </c>
      <c r="C11" s="413">
        <f>Datos!AQ11</f>
        <v>2</v>
      </c>
      <c r="D11" s="406">
        <f>IF(ISNUMBER(Datos!M11),Datos!M11," - ")</f>
        <v>744</v>
      </c>
      <c r="E11" s="407">
        <f t="shared" si="0"/>
        <v>372</v>
      </c>
      <c r="F11" s="406">
        <f>IF(ISNUMBER(Datos!N11),Datos!N11," - ")</f>
        <v>1365</v>
      </c>
      <c r="G11" s="407">
        <f t="shared" si="1"/>
        <v>682.5</v>
      </c>
      <c r="H11" s="406">
        <f>IF(ISNUMBER(Datos!O11),Datos!O11," - ")</f>
        <v>557</v>
      </c>
      <c r="I11" s="407">
        <f t="shared" si="2"/>
        <v>278.5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3517</v>
      </c>
      <c r="E13" s="853">
        <f t="shared" si="0"/>
        <v>319.72727272727275</v>
      </c>
      <c r="F13" s="852">
        <f>SUBTOTAL(9,F9:F12)</f>
        <v>7949</v>
      </c>
      <c r="G13" s="853">
        <f t="shared" si="1"/>
        <v>722.63636363636363</v>
      </c>
      <c r="H13" s="852">
        <f>SUBTOTAL(9,H9:H12)</f>
        <v>6680</v>
      </c>
      <c r="I13" s="853">
        <f>IF(ISNUMBER(H13/B13),H13/B13," - ")</f>
        <v>607.27272727272725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1648</v>
      </c>
      <c r="E15" s="407">
        <f t="shared" ref="E15:E18" si="3">IF(ISNUMBER(D15/B15),D15/B15," - ")</f>
        <v>329.6</v>
      </c>
      <c r="F15" s="406">
        <f>IF(ISNUMBER(Datos!N15),Datos!N15," - ")</f>
        <v>8175</v>
      </c>
      <c r="G15" s="407">
        <f t="shared" ref="G15:G18" si="4">IF(ISNUMBER(F15/B15),F15/B15," - ")</f>
        <v>1635</v>
      </c>
      <c r="H15" s="406">
        <f>IF(ISNUMBER(Datos!O15),Datos!O15," - ")</f>
        <v>81</v>
      </c>
      <c r="I15" s="407">
        <f t="shared" ref="I15:I17" si="5">IF(ISNUMBER(H15/B15),H15/B15," - ")</f>
        <v>16.2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118</v>
      </c>
      <c r="E17" s="407">
        <f>IF(ISNUMBER(D17/B17),D17/B17," - ")</f>
        <v>118</v>
      </c>
      <c r="F17" s="406">
        <f>IF(ISNUMBER(Datos!N17),Datos!N17," - ")</f>
        <v>480</v>
      </c>
      <c r="G17" s="407">
        <f>IF(ISNUMBER(F17/B17),F17/B17," - ")</f>
        <v>480</v>
      </c>
      <c r="H17" s="406">
        <f>IF(ISNUMBER(Datos!O17),Datos!O17," - ")</f>
        <v>1</v>
      </c>
      <c r="I17" s="407">
        <f t="shared" si="5"/>
        <v>1</v>
      </c>
    </row>
    <row r="18" spans="1:9" ht="14.25" thickTop="1" thickBot="1">
      <c r="A18" s="851" t="str">
        <f>Datos!A18</f>
        <v>TOTAL</v>
      </c>
      <c r="B18" s="852">
        <f>Datos!AO18</f>
        <v>6</v>
      </c>
      <c r="C18" s="854">
        <f>Datos!AR18</f>
        <v>6</v>
      </c>
      <c r="D18" s="852">
        <f>SUBTOTAL(9,D15:D17)</f>
        <v>1766</v>
      </c>
      <c r="E18" s="853">
        <f t="shared" si="3"/>
        <v>294.33333333333331</v>
      </c>
      <c r="F18" s="852">
        <f>SUBTOTAL(9,F15:F17)</f>
        <v>8655</v>
      </c>
      <c r="G18" s="853">
        <f t="shared" si="4"/>
        <v>1442.5</v>
      </c>
      <c r="H18" s="852">
        <f>SUBTOTAL(9,H15:H17)</f>
        <v>82</v>
      </c>
      <c r="I18" s="853">
        <f>IF(ISNUMBER(H18/B18),H18/B18," - ")</f>
        <v>13.666666666666666</v>
      </c>
    </row>
    <row r="19" spans="1:9" ht="14.25" thickTop="1" thickBot="1">
      <c r="A19" s="796" t="str">
        <f>Datos!A19</f>
        <v>TOTAL JURISDICCIONES</v>
      </c>
      <c r="B19" s="797">
        <f>Datos!AP19</f>
        <v>16</v>
      </c>
      <c r="C19" s="797">
        <f>Datos!AR19</f>
        <v>16</v>
      </c>
      <c r="D19" s="797">
        <f>SUBTOTAL(9,D8:D18)</f>
        <v>5283</v>
      </c>
      <c r="E19" s="798">
        <f>IF(ISNUMBER(D19/B19),D19/B19," - ")</f>
        <v>330.1875</v>
      </c>
      <c r="F19" s="797">
        <f>SUBTOTAL(9,F8:F18)</f>
        <v>16604</v>
      </c>
      <c r="G19" s="798">
        <f>IF(ISNUMBER(F19/B19),F19/B19," - ")</f>
        <v>1037.75</v>
      </c>
      <c r="H19" s="797">
        <f>SUBTOTAL(9,H8:H18)</f>
        <v>6762</v>
      </c>
      <c r="I19" s="798">
        <f>IF(ISNUMBER(H19/B19),H19/B19," - ")</f>
        <v>422.625</v>
      </c>
    </row>
    <row r="22" spans="1:9">
      <c r="A22" s="394" t="str">
        <f>Criterios!A4</f>
        <v>Fecha Informe: 03 may. 2024</v>
      </c>
    </row>
    <row r="27" spans="1:9">
      <c r="A27" s="417"/>
    </row>
  </sheetData>
  <sheetProtection algorithmName="SHA-512" hashValue="ybkor+uqVcBgxqzyUXk7IenJsp625UrqBoUHNit4HYyjn7hOq/AslUQP0AfZZFO9kXkrzQmLo6DVlkPfmDG7oA==" saltValue="wn3R0XSS8bP4PmGN3vDo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SABADELL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3259</v>
      </c>
      <c r="C9" s="437">
        <f>IF(ISNUMBER(Datos!Q9),Datos!Q9," - ")</f>
        <v>3556</v>
      </c>
      <c r="D9" s="411">
        <f>IF(ISNUMBER(Datos!R9),Datos!R9," - ")</f>
        <v>17065</v>
      </c>
    </row>
    <row r="10" spans="1:4">
      <c r="A10" s="405" t="str">
        <f>Datos!A10</f>
        <v>Jdos. Violencia contra la mujer</v>
      </c>
      <c r="B10" s="436">
        <f>IF(ISNUMBER(Datos!P10),Datos!P10," - ")</f>
        <v>40</v>
      </c>
      <c r="C10" s="437">
        <f>IF(ISNUMBER(Datos!Q10),Datos!Q10," - ")</f>
        <v>48</v>
      </c>
      <c r="D10" s="411">
        <f>IF(ISNUMBER(Datos!R10),Datos!R10," - ")</f>
        <v>142</v>
      </c>
    </row>
    <row r="11" spans="1:4">
      <c r="A11" s="405" t="str">
        <f>Datos!A11</f>
        <v xml:space="preserve">Jdos. Familia                                   </v>
      </c>
      <c r="B11" s="436">
        <f>IF(ISNUMBER(Datos!P11),Datos!P11," - ")</f>
        <v>239</v>
      </c>
      <c r="C11" s="437">
        <f>IF(ISNUMBER(Datos!Q11),Datos!Q11," - ")</f>
        <v>176</v>
      </c>
      <c r="D11" s="411">
        <f>IF(ISNUMBER(Datos!R11),Datos!R11," - ")</f>
        <v>852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3538</v>
      </c>
      <c r="C13" s="856">
        <f>SUBTOTAL(9,C9:C12)</f>
        <v>3780</v>
      </c>
      <c r="D13" s="854">
        <f>SUBTOTAL(9,D9:D12)</f>
        <v>18059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358</v>
      </c>
      <c r="C15" s="437">
        <f>IF(ISNUMBER(Datos!Q15),Datos!Q15," - ")</f>
        <v>396</v>
      </c>
      <c r="D15" s="411">
        <f>IF(ISNUMBER(Datos!R15),Datos!R15," - ")</f>
        <v>559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14</v>
      </c>
      <c r="C17" s="437">
        <f>IF(ISNUMBER(Datos!Q17),Datos!Q17," - ")</f>
        <v>7</v>
      </c>
      <c r="D17" s="411">
        <f>IF(ISNUMBER(Datos!R17),Datos!R17," - ")</f>
        <v>14</v>
      </c>
    </row>
    <row r="18" spans="1:4" ht="14.25" thickTop="1" thickBot="1">
      <c r="A18" s="851" t="str">
        <f>Datos!A18</f>
        <v>TOTAL</v>
      </c>
      <c r="B18" s="852">
        <f>SUBTOTAL(9,B15:B17)</f>
        <v>372</v>
      </c>
      <c r="C18" s="856">
        <f>SUBTOTAL(9,C15:C17)</f>
        <v>403</v>
      </c>
      <c r="D18" s="854">
        <f>SUBTOTAL(9,D15:D17)</f>
        <v>573</v>
      </c>
    </row>
    <row r="19" spans="1:4" ht="16.5" customHeight="1" thickTop="1" thickBot="1">
      <c r="A19" s="796" t="str">
        <f>Datos!A19</f>
        <v>TOTAL JURISDICCIONES</v>
      </c>
      <c r="B19" s="801">
        <f>SUBTOTAL(9,B8:B18)</f>
        <v>3910</v>
      </c>
      <c r="C19" s="802">
        <f>SUBTOTAL(9,C8:C18)</f>
        <v>4183</v>
      </c>
      <c r="D19" s="803">
        <f>SUBTOTAL(9,D8:D18)</f>
        <v>18632</v>
      </c>
    </row>
    <row r="20" spans="1:4" ht="7.5" customHeight="1"/>
    <row r="21" spans="1:4" ht="6" customHeight="1"/>
    <row r="22" spans="1:4">
      <c r="A22" s="394" t="str">
        <f>Criterios!A4</f>
        <v>Fecha Informe: 03 may. 2024</v>
      </c>
    </row>
    <row r="27" spans="1:4">
      <c r="A27" s="417"/>
    </row>
  </sheetData>
  <sheetProtection algorithmName="SHA-512" hashValue="fWgsS0nYy+vs5d9OutppEa/aANhNmDJB1TYQBUAhA/aqpZ4SF4/o0gDbVvqpLY8tpAKX1N7EI0bawGLdw0sssQ==" saltValue="xWbl14EImC5oW9ERrBCi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SABADELL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0.13617085731596487</v>
      </c>
      <c r="C9" s="459">
        <f>IF(ISNUMBER(
   IF(J_V="SI",(Datos!J9-Datos!T9)/Datos!T9,(Datos!J9+Datos!Z9-(Datos!T9+Datos!AH9))/(Datos!T9+Datos!AH9))
     ),IF(J_V="SI",(Datos!J9-Datos!T9)/Datos!T9,(Datos!J9+Datos!Z9-(Datos!T9+Datos!AH9))/(Datos!T9+Datos!AH9))," - ")</f>
        <v>3.580901856763926E-2</v>
      </c>
      <c r="D9" s="459">
        <f>IF(ISNUMBER(
   IF(J_V="SI",(Datos!K9-Datos!U9)/Datos!U9,(Datos!K9+Datos!AA9-(Datos!U9+Datos!AI9))/(Datos!U9+Datos!AI9))
     ),IF(J_V="SI",(Datos!K9-Datos!U9)/Datos!U9,(Datos!K9+Datos!AA9-(Datos!U9+Datos!AI9))/(Datos!U9+Datos!AI9))," - ")</f>
        <v>4.7265917602996255E-2</v>
      </c>
      <c r="E9" s="459">
        <f>IF(ISNUMBER(
   IF(J_V="SI",(Datos!L9-Datos!V9)/Datos!V9,(Datos!L9+Datos!AB9-(Datos!V9+Datos!AJ9))/(Datos!V9+Datos!AJ9))
     ),IF(J_V="SI",(Datos!L9-Datos!V9)/Datos!V9,(Datos!L9+Datos!AB9-(Datos!V9+Datos!AJ9))/(Datos!V9+Datos!AJ9))," - ")</f>
        <v>6.6457805625916549E-2</v>
      </c>
      <c r="F9" s="459">
        <f>IF(ISNUMBER((Datos!M9-Datos!W9)/Datos!W9),(Datos!M9-Datos!W9)/Datos!W9," - ")</f>
        <v>6.5985860172820113E-2</v>
      </c>
      <c r="G9" s="460">
        <f>IF(ISNUMBER((Datos!N9-Datos!X9)/Datos!X9),(Datos!N9-Datos!X9)/Datos!X9," - ")</f>
        <v>6.3538611925708699E-2</v>
      </c>
      <c r="H9" s="458">
        <f>IF(ISNUMBER(((NºAsuntos!G9/NºAsuntos!E9)-Datos!BD9)/Datos!BD9),((NºAsuntos!G9/NºAsuntos!E9)-Datos!BD9)/Datos!BD9," - ")</f>
        <v>1.1060821859998972E-2</v>
      </c>
      <c r="I9" s="459">
        <f>IF(ISNUMBER(((NºAsuntos!I9/NºAsuntos!G9)-Datos!BE9)/Datos!BE9),((NºAsuntos!I9/NºAsuntos!G9)-Datos!BE9)/Datos!BE9," - ")</f>
        <v>1.8325706680923155E-2</v>
      </c>
      <c r="J9" s="464">
        <f>IF(ISNUMBER((('Resol  Asuntos'!D9/NºAsuntos!G9)-Datos!BF9)/Datos!BF9),(('Resol  Asuntos'!D9/NºAsuntos!G9)-Datos!BF9)/Datos!BF9," - ")</f>
        <v>-0.5777924557997054</v>
      </c>
      <c r="K9" s="465">
        <f>IF(ISNUMBER((((NºAsuntos!C9+NºAsuntos!E9)/NºAsuntos!G9)-Datos!BG9)/Datos!BG9),(((NºAsuntos!C9+NºAsuntos!E9)/NºAsuntos!G9)-Datos!BG9)/Datos!BG9," - ")</f>
        <v>3.3798156944737819E-2</v>
      </c>
    </row>
    <row r="10" spans="1:11">
      <c r="A10" s="405" t="str">
        <f>Datos!A10</f>
        <v>Jdos. Violencia contra la mujer</v>
      </c>
      <c r="B10" s="458">
        <f>IF(ISNUMBER((Datos!I10-Datos!S10)/Datos!S10),(Datos!I10-Datos!S10)/Datos!S10," - ")</f>
        <v>-3.3613445378151259E-2</v>
      </c>
      <c r="C10" s="459">
        <f>IF(ISNUMBER((Datos!J10-Datos!T10)/Datos!T10),(Datos!J10-Datos!T10)/Datos!T10," - ")</f>
        <v>-0.13131313131313133</v>
      </c>
      <c r="D10" s="459">
        <f>IF(ISNUMBER((Datos!K10-Datos!U10)/Datos!U10),(Datos!K10-Datos!U10)/Datos!U10," - ")</f>
        <v>-0.24752475247524752</v>
      </c>
      <c r="E10" s="459">
        <f>IF(ISNUMBER((Datos!L10-Datos!V10)/Datos!V10),(Datos!L10-Datos!V10)/Datos!V10," - ")</f>
        <v>0.17391304347826086</v>
      </c>
      <c r="F10" s="459">
        <f>IF(ISNUMBER((Datos!M10-Datos!W10)/Datos!W10),(Datos!M10-Datos!W10)/Datos!W10," - ")</f>
        <v>-4.8387096774193547E-2</v>
      </c>
      <c r="G10" s="460">
        <f>IF(ISNUMBER((Datos!N10-Datos!X10)/Datos!X10),(Datos!N10-Datos!X10)/Datos!X10," - ")</f>
        <v>5.6603773584905662E-2</v>
      </c>
      <c r="H10" s="458">
        <f>IF(ISNUMBER(((NºAsuntos!G10/NºAsuntos!E10)-Datos!BD10)/Datos!BD10),((NºAsuntos!G10/NºAsuntos!E10)-Datos!BD10)/Datos!BD10," - ")</f>
        <v>-0.13377849412848253</v>
      </c>
      <c r="I10" s="459">
        <f>IF(ISNUMBER(((NºAsuntos!I10/NºAsuntos!G10)-Datos!BE10)/Datos!BE10),((NºAsuntos!I10/NºAsuntos!G10)-Datos!BE10)/Datos!BE10," - ")</f>
        <v>0.56006864988558369</v>
      </c>
      <c r="J10" s="464">
        <f>IF(ISNUMBER((('Resol  Asuntos'!D10/NºAsuntos!G10)-Datos!BF10)/Datos!BF10),(('Resol  Asuntos'!D10/NºAsuntos!G10)-Datos!BF10)/Datos!BF10," - ")</f>
        <v>0.26464346349745327</v>
      </c>
      <c r="K10" s="465">
        <f>IF(ISNUMBER((((NºAsuntos!C10+NºAsuntos!E10)/NºAsuntos!G10)-Datos!BG10)/Datos!BG10),(((NºAsuntos!C10+NºAsuntos!E10)/NºAsuntos!G10)-Datos!BG10)/Datos!BG10," - ")</f>
        <v>0.20317947866511696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-6.5699658703071678E-2</v>
      </c>
      <c r="C11" s="459">
        <f>IF(ISNUMBER(
   IF(J_V="SI",(Datos!J11-Datos!T11)/Datos!T11,(Datos!J11+Datos!Z11-(Datos!T11+Datos!AH11))/(Datos!T11+Datos!AH11))
     ),IF(J_V="SI",(Datos!J11-Datos!T11)/Datos!T11,(Datos!J11+Datos!Z11-(Datos!T11+Datos!AH11))/(Datos!T11+Datos!AH11))," - ")</f>
        <v>-5.8131487889273359E-2</v>
      </c>
      <c r="D11" s="459">
        <f>IF(ISNUMBER(
   IF(J_V="SI",(Datos!K11-Datos!U11)/Datos!U11,(Datos!K11+Datos!AA11-(Datos!U11+Datos!AI11))/(Datos!U11+Datos!AI11))
     ),IF(J_V="SI",(Datos!K11-Datos!U11)/Datos!U11,(Datos!K11+Datos!AA11-(Datos!U11+Datos!AI11))/(Datos!U11+Datos!AI11))," - ")</f>
        <v>-0.10020661157024793</v>
      </c>
      <c r="E11" s="459">
        <f>IF(ISNUMBER(
   IF(J_V="SI",(Datos!L11-Datos!V11)/Datos!V11,(Datos!L11+Datos!AB11-(Datos!V11+Datos!AJ11))/(Datos!V11+Datos!AJ11))
     ),IF(J_V="SI",(Datos!L11-Datos!V11)/Datos!V11,(Datos!L11+Datos!AB11-(Datos!V11+Datos!AJ11))/(Datos!V11+Datos!AJ11))," - ")</f>
        <v>0.1004566210045662</v>
      </c>
      <c r="F11" s="459">
        <f>IF(ISNUMBER((Datos!M11-Datos!W11)/Datos!W11),(Datos!M11-Datos!W11)/Datos!W11," - ")</f>
        <v>-0.16310461192350956</v>
      </c>
      <c r="G11" s="460">
        <f>IF(ISNUMBER((Datos!N11-Datos!X11)/Datos!X11),(Datos!N11-Datos!X11)/Datos!X11," - ")</f>
        <v>1.1860637509266123E-2</v>
      </c>
      <c r="H11" s="458">
        <f>IF(ISNUMBER(((NºAsuntos!G11/NºAsuntos!E11)-Datos!BD11)/Datos!BD11),((NºAsuntos!G11/NºAsuntos!E11)-Datos!BD11)/Datos!BD11," - ")</f>
        <v>-4.4671971872893686E-2</v>
      </c>
      <c r="I11" s="459">
        <f>IF(ISNUMBER(((NºAsuntos!I11/NºAsuntos!G11)-Datos!BE11)/Datos!BE11),((NºAsuntos!I11/NºAsuntos!G11)-Datos!BE11)/Datos!BE11," - ")</f>
        <v>0.22301034343561441</v>
      </c>
      <c r="J11" s="464">
        <f>IF(ISNUMBER((('Resol  Asuntos'!D11/NºAsuntos!G11)-Datos!BF11)/Datos!BF11),(('Resol  Asuntos'!D11/NºAsuntos!G11)-Datos!BF11)/Datos!BF11," - ")</f>
        <v>-0.38705968361987741</v>
      </c>
      <c r="K11" s="465">
        <f>IF(ISNUMBER((((NºAsuntos!C11+NºAsuntos!E11)/NºAsuntos!G11)-Datos!BG11)/Datos!BG11),(((NºAsuntos!C11+NºAsuntos!E11)/NºAsuntos!G11)-Datos!BG11)/Datos!BG11," - ")</f>
        <v>4.4334061993181503E-2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0.11845463953087272</v>
      </c>
      <c r="C13" s="858">
        <f>IF(ISNUMBER(
   IF(J_V="SI",(Datos!J13-Datos!T13)/Datos!T13,(Datos!J13+Datos!Z13-(Datos!T13+Datos!AH13))/(Datos!T13+Datos!AH13))
     ),IF(J_V="SI",(Datos!J13-Datos!T13)/Datos!T13,(Datos!J13+Datos!Z13-(Datos!T13+Datos!AH13))/(Datos!T13+Datos!AH13))," - ")</f>
        <v>1.9044473800088068E-2</v>
      </c>
      <c r="D13" s="858">
        <f>IF(ISNUMBER(
   IF(J_V="SI",(Datos!K13-Datos!U13)/Datos!U13,(Datos!K13+Datos!AA13-(Datos!U13+Datos!AI13))/(Datos!U13+Datos!AI13))
     ),IF(J_V="SI",(Datos!K13-Datos!U13)/Datos!U13,(Datos!K13+Datos!AA13-(Datos!U13+Datos!AI13))/(Datos!U13+Datos!AI13))," - ")</f>
        <v>1.7622751579970831E-2</v>
      </c>
      <c r="E13" s="858">
        <f>IF(ISNUMBER(
   IF(J_V="SI",(Datos!L13-Datos!V13)/Datos!V13,(Datos!L13+Datos!AB13-(Datos!V13+Datos!AJ13))/(Datos!V13+Datos!AJ13))
     ),IF(J_V="SI",(Datos!L13-Datos!V13)/Datos!V13,(Datos!L13+Datos!AB13-(Datos!V13+Datos!AJ13))/(Datos!V13+Datos!AJ13))," - ")</f>
        <v>6.951640759930916E-2</v>
      </c>
      <c r="F13" s="859">
        <f>IF(ISNUMBER((Datos!M13-Datos!W13)/Datos!W13),(Datos!M13-Datos!W13)/Datos!W13," - ")</f>
        <v>5.7191878753217046E-3</v>
      </c>
      <c r="G13" s="860">
        <f>IF(ISNUMBER((Datos!N13-Datos!X13)/Datos!X13),(Datos!N13-Datos!X13)/Datos!X13," - ")</f>
        <v>5.424403183023873E-2</v>
      </c>
      <c r="H13" s="860">
        <f>IF(ISNUMBER(((NºAsuntos!G13/NºAsuntos!E13)-Datos!BD13)/Datos!BD13),((NºAsuntos!G13/NºAsuntos!E13)-Datos!BD13)/Datos!BD13," - ")</f>
        <v>-1.3951522790908988E-3</v>
      </c>
      <c r="I13" s="860">
        <f>IF(ISNUMBER(((NºAsuntos!I13/NºAsuntos!G13)-Datos!BE13)/Datos!BE13),((NºAsuntos!I13/NºAsuntos!G13)-Datos!BE13)/Datos!BE13," - ")</f>
        <v>5.0994984083018752E-2</v>
      </c>
      <c r="J13" s="860">
        <f>IF(ISNUMBER((('Resol  Asuntos'!D13/NºAsuntos!G13)-Datos!BF13)/Datos!BF13),(('Resol  Asuntos'!D13/NºAsuntos!G13)-Datos!BF13)/Datos!BF13," - ")</f>
        <v>-0.54217855185762986</v>
      </c>
      <c r="K13" s="860">
        <f>IF(ISNUMBER((((NºAsuntos!C13+NºAsuntos!E13)/NºAsuntos!G13)-Datos!BG13)/Datos!BG13),(((NºAsuntos!C13+NºAsuntos!E13)/NºAsuntos!G13)-Datos!BG13)/Datos!BG13," - ")</f>
        <v>4.4748802027548711E-2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0.2344283276450512</v>
      </c>
      <c r="C15" s="459">
        <f>IF(ISNUMBER(
   IF(D_I="SI",(Datos!J15-Datos!T15)/Datos!T15,(Datos!J15+Datos!AD15-(Datos!T15+Datos!AL15))/(Datos!T15+Datos!AL15))
     ),IF(D_I="SI",(Datos!J15-Datos!T15)/Datos!T15,(Datos!J15+Datos!AD15-(Datos!T15+Datos!AL15))/(Datos!T15+Datos!AL15))," - ")</f>
        <v>5.9664770106104874E-2</v>
      </c>
      <c r="D15" s="459">
        <f>IF(ISNUMBER(
   IF(D_I="SI",(Datos!K15-Datos!U15)/Datos!U15,(Datos!K15+Datos!AE15-(Datos!U15+Datos!AM15))/(Datos!U15+Datos!AM15))
     ),IF(D_I="SI",(Datos!K15-Datos!U15)/Datos!U15,(Datos!K15+Datos!AE15-(Datos!U15+Datos!AM15))/(Datos!U15+Datos!AM15))," - ")</f>
        <v>0.10207137509358623</v>
      </c>
      <c r="E15" s="459">
        <f>IF(ISNUMBER(
   IF(D_I="SI",(Datos!L15-Datos!V15)/Datos!V15,(Datos!L15+Datos!AF15-(Datos!V15+Datos!AN15))/(Datos!V15+Datos!AN15))
     ),IF(D_I="SI",(Datos!L15-Datos!V15)/Datos!V15,(Datos!L15+Datos!AF15-(Datos!V15+Datos!AN15))/(Datos!V15+Datos!AN15))," - ")</f>
        <v>8.8474166234663906E-2</v>
      </c>
      <c r="F15" s="459">
        <f>IF(ISNUMBER((Datos!M15-Datos!W15)/Datos!W15),(Datos!M15-Datos!W15)/Datos!W15," - ")</f>
        <v>-3.9627039627039624E-2</v>
      </c>
      <c r="G15" s="460">
        <f>IF(ISNUMBER((Datos!N15-Datos!X15)/Datos!X15),(Datos!N15-Datos!X15)/Datos!X15," - ")</f>
        <v>0.15482412770165277</v>
      </c>
      <c r="H15" s="458">
        <f>IF(ISNUMBER(((NºAsuntos!G15/NºAsuntos!E15)-Datos!BD15)/Datos!BD15),((NºAsuntos!G15/NºAsuntos!E15)-Datos!BD15)/Datos!BD15," - ")</f>
        <v>4.0018887278129557E-2</v>
      </c>
      <c r="I15" s="459">
        <f>IF(ISNUMBER(((NºAsuntos!I15/NºAsuntos!G15)-Datos!BE15)/Datos!BE15),((NºAsuntos!I15/NºAsuntos!G15)-Datos!BE15)/Datos!BE15," - ")</f>
        <v>-1.2337865918863598E-2</v>
      </c>
      <c r="J15" s="464">
        <f>IF(ISNUMBER((('Resol  Asuntos'!D15/NºAsuntos!G15)-Datos!BF15)/Datos!BF15),(('Resol  Asuntos'!D15/NºAsuntos!G15)-Datos!BF15)/Datos!BF15," - ")</f>
        <v>-0.12857462585723461</v>
      </c>
      <c r="K15" s="465">
        <f>IF(ISNUMBER((((NºAsuntos!C15+NºAsuntos!E15)/NºAsuntos!G15)-Datos!BG15)/Datos!BG15),(((NºAsuntos!C15+NºAsuntos!E15)/NºAsuntos!G15)-Datos!BG15)/Datos!BG15," - ")</f>
        <v>3.5358414913431121E-3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-1.7937219730941704E-2</v>
      </c>
      <c r="C17" s="459">
        <f>IF(ISNUMBER(
   IF(D_I="SI",(Datos!J17-Datos!T17)/Datos!T17,(Datos!J17+Datos!AD17-(Datos!T17+Datos!AL17))/(Datos!T17+Datos!AL17))
     ),IF(D_I="SI",(Datos!J17-Datos!T17)/Datos!T17,(Datos!J17+Datos!AD17-(Datos!T17+Datos!AL17))/(Datos!T17+Datos!AL17))," - ")</f>
        <v>-9.3696763202725727E-3</v>
      </c>
      <c r="D17" s="459">
        <f>IF(ISNUMBER(
   IF(D_I="SI",(Datos!K17-Datos!U17)/Datos!U17,(Datos!K17+Datos!AE17-(Datos!U17+Datos!AM17))/(Datos!U17+Datos!AM17))
     ),IF(D_I="SI",(Datos!K17-Datos!U17)/Datos!U17,(Datos!K17+Datos!AE17-(Datos!U17+Datos!AM17))/(Datos!U17+Datos!AM17))," - ")</f>
        <v>-3.2258064516129031E-2</v>
      </c>
      <c r="E17" s="459">
        <f>IF(ISNUMBER(
   IF(D_I="SI",(Datos!L17-Datos!V17)/Datos!V17,(Datos!L17+Datos!AF17-(Datos!V17+Datos!AN17))/(Datos!V17+Datos!AN17))
     ),IF(D_I="SI",(Datos!L17-Datos!V17)/Datos!V17,(Datos!L17+Datos!AF17-(Datos!V17+Datos!AN17))/(Datos!V17+Datos!AN17))," - ")</f>
        <v>0.1050228310502283</v>
      </c>
      <c r="F17" s="459">
        <f>IF(ISNUMBER((Datos!M17-Datos!W17)/Datos!W17),(Datos!M17-Datos!W17)/Datos!W17," - ")</f>
        <v>0.59459459459459463</v>
      </c>
      <c r="G17" s="460">
        <f>IF(ISNUMBER((Datos!N17-Datos!X17)/Datos!X17),(Datos!N17-Datos!X17)/Datos!X17," - ")</f>
        <v>-2.0408163265306121E-2</v>
      </c>
      <c r="H17" s="458">
        <f>IF(ISNUMBER(((NºAsuntos!G17/NºAsuntos!E17)-Datos!BD17)/Datos!BD17),((NºAsuntos!G17/NºAsuntos!E17)-Datos!BD17)/Datos!BD17," - ")</f>
        <v>-2.3104873380855945E-2</v>
      </c>
      <c r="I17" s="459">
        <f>IF(ISNUMBER(((NºAsuntos!I17/NºAsuntos!G17)-Datos!BE17)/Datos!BE17),((NºAsuntos!I17/NºAsuntos!G17)-Datos!BE17)/Datos!BE17," - ")</f>
        <v>0.14185692541856917</v>
      </c>
      <c r="J17" s="464">
        <f>IF(ISNUMBER((('Resol  Asuntos'!D17/NºAsuntos!G17)-Datos!BF17)/Datos!BF17),(('Resol  Asuntos'!D17/NºAsuntos!G17)-Datos!BF17)/Datos!BF17," - ")</f>
        <v>0.6477477477477479</v>
      </c>
      <c r="K17" s="465">
        <f>IF(ISNUMBER((((NºAsuntos!C17+NºAsuntos!E17)/NºAsuntos!G17)-Datos!BG17)/Datos!BG17),(((NºAsuntos!C17+NºAsuntos!E17)/NºAsuntos!G17)-Datos!BG17)/Datos!BG17," - ")</f>
        <v>2.2238129324743464E-2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0.22296884544899206</v>
      </c>
      <c r="C18" s="858">
        <f>IF(ISNUMBER(
   IF(Criterios!B14="SI",(Datos!J18-Datos!T18)/Datos!T18,(Datos!J18+Datos!AD18-(Datos!T18+Datos!AL18))/(Datos!T18+Datos!AL18))
     ),IF(Criterios!B14="SI",(Datos!J18-Datos!T18)/Datos!T18,(Datos!J18+Datos!AD18-(Datos!T18+Datos!AL18))/(Datos!T18+Datos!AL18))," - ")</f>
        <v>5.3949224259520451E-2</v>
      </c>
      <c r="D18" s="858">
        <f>IF(ISNUMBER(
   IF(Criterios!B14="SI",(Datos!K18-Datos!U18)/Datos!U18,(Datos!K18+Datos!AE18-(Datos!U18+Datos!AM18))/(Datos!U18+Datos!AM18))
     ),IF(Criterios!B14="SI",(Datos!K18-Datos!U18)/Datos!U18,(Datos!K18+Datos!AE18-(Datos!U18+Datos!AM18))/(Datos!U18+Datos!AM18))," - ")</f>
        <v>9.0082582013788923E-2</v>
      </c>
      <c r="E18" s="858">
        <f>IF(ISNUMBER(
   IF(Criterios!B14="SI",(Datos!L18-Datos!V18)/Datos!V18,(Datos!L18+Datos!AF18-(Datos!V18+Datos!AN18))/(Datos!V18+Datos!AN18))
     ),IF(Criterios!B14="SI",(Datos!L18-Datos!V18)/Datos!V18,(Datos!L18+Datos!AF18-(Datos!V18+Datos!AN18))/(Datos!V18+Datos!AN18))," - ")</f>
        <v>8.9077589077589073E-2</v>
      </c>
      <c r="F18" s="859">
        <f>IF(ISNUMBER((Datos!M18-Datos!W18)/Datos!W18),(Datos!M18-Datos!W18)/Datos!W18," - ")</f>
        <v>-1.3407821229050279E-2</v>
      </c>
      <c r="G18" s="860">
        <f>IF(ISNUMBER((Datos!N18-Datos!X18)/Datos!X18),(Datos!N18-Datos!X18)/Datos!X18," - ")</f>
        <v>0.14347998414585811</v>
      </c>
      <c r="H18" s="860">
        <f>IF(ISNUMBER(((NºAsuntos!G18/NºAsuntos!E18)-Datos!BD18)/Datos!BD18),((NºAsuntos!G18/NºAsuntos!E18)-Datos!BD18)/Datos!BD18," - ")</f>
        <v>3.4283774704284141E-2</v>
      </c>
      <c r="I18" s="860">
        <f>IF(ISNUMBER(((NºAsuntos!I18/NºAsuntos!G18)-Datos!BE18)/Datos!BE18),((NºAsuntos!I18/NºAsuntos!G18)-Datos!BE18)/Datos!BE18," - ")</f>
        <v>-9.2194201868939381E-4</v>
      </c>
      <c r="J18" s="860">
        <f>IF(ISNUMBER((('Resol  Asuntos'!D18/NºAsuntos!G18)-Datos!BF18)/Datos!BF18),(('Resol  Asuntos'!D18/NºAsuntos!G18)-Datos!BF18)/Datos!BF18," - ")</f>
        <v>-9.4938131248417823E-2</v>
      </c>
      <c r="K18" s="860">
        <f>IF(ISNUMBER((((NºAsuntos!C18+NºAsuntos!E18)/NºAsuntos!G18)-Datos!BG18)/Datos!BG18),(((NºAsuntos!C18+NºAsuntos!E18)/NºAsuntos!G18)-Datos!BG18)/Datos!BG18," - ")</f>
        <v>6.7385036625791043E-3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0.1449036380500876</v>
      </c>
      <c r="C19" s="805">
        <f>IF(ISNUMBER(
   IF(J_V="SI",(Datos!J19-Datos!T19)/Datos!T19,(Datos!J19+Datos!Z19-(Datos!T19+Datos!AH19))/(Datos!T19+Datos!AH19))
     ),IF(J_V="SI",(Datos!J19-Datos!T19)/Datos!T19,(Datos!J19+Datos!Z19-(Datos!T19+Datos!AH19))/(Datos!T19+Datos!AH19))," - ")</f>
        <v>3.4345245455669596E-2</v>
      </c>
      <c r="D19" s="805">
        <f>IF(ISNUMBER(
   IF(J_V="SI",(Datos!K19-Datos!U19)/Datos!U19,(Datos!K19+Datos!AA19-(Datos!U19+Datos!AI19))/(Datos!U19+Datos!AI19))
     ),IF(J_V="SI",(Datos!K19-Datos!U19)/Datos!U19,(Datos!K19+Datos!AA19-(Datos!U19+Datos!AI19))/(Datos!U19+Datos!AI19))," - ")</f>
        <v>4.9873545776428933E-2</v>
      </c>
      <c r="E19" s="805">
        <f>IF(ISNUMBER(
   IF(J_V="SI",(Datos!L19-Datos!V19)/Datos!V19,(Datos!L19+Datos!AB19-(Datos!V19+Datos!AJ19))/(Datos!V19+Datos!AJ19))
     ),IF(J_V="SI",(Datos!L19-Datos!V19)/Datos!V19,(Datos!L19+Datos!AB19-(Datos!V19+Datos!AJ19))/(Datos!V19+Datos!AJ19))," - ")</f>
        <v>7.4804212800432077E-2</v>
      </c>
      <c r="F19" s="806">
        <f>IF(ISNUMBER((Datos!M19-Datos!W19)/Datos!W19),(Datos!M19-Datos!W19)/Datos!W19," - ")</f>
        <v>-7.5657272555324385E-4</v>
      </c>
      <c r="G19" s="807">
        <f>IF(ISNUMBER((Datos!N19-Datos!X19)/Datos!X19),(Datos!N19-Datos!X19)/Datos!X19," - ")</f>
        <v>9.8947647097756303E-2</v>
      </c>
      <c r="H19" s="808">
        <f>IF(ISNUMBER((Tasas!B19-Datos!BD19)/Datos!BD19),(Tasas!B19-Datos!BD19)/Datos!BD19," - ")</f>
        <v>1.5012685937294193E-2</v>
      </c>
      <c r="I19" s="809">
        <f>IF(ISNUMBER((Tasas!C19-Datos!BE19)/Datos!BE19),(Tasas!C19-Datos!BE19)/Datos!BE19," - ")</f>
        <v>2.3746352238607726E-2</v>
      </c>
      <c r="J19" s="810">
        <f>IF(ISNUMBER((Tasas!D19-Datos!BF19)/Datos!BF19),(Tasas!D19-Datos!BF19)/Datos!BF19," - ")</f>
        <v>-0.46118057689184982</v>
      </c>
      <c r="K19" s="810">
        <f>IF(ISNUMBER((Tasas!E19-Datos!BG19)/Datos!BG19),(Tasas!E19-Datos!BG19)/Datos!BG19," - ")</f>
        <v>2.4695696549175299E-2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oligH9hmBzE3O+dBZcCw+AUUbzzuBUAmJgxwI+jUhWVUU9Ls5rqnE7pp6DwFiGmVWNtq6hzSC97CyZiYXfo+w==" saltValue="BieIglELAsgQ/9fsUtVA1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SABADELL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0.8950704225352113</v>
      </c>
      <c r="C9" s="446">
        <f>IF(ISNUMBER(NºAsuntos!I9/NºAsuntos!G9),NºAsuntos!I9/NºAsuntos!G9," - ")</f>
        <v>1.1443387454402403</v>
      </c>
      <c r="D9" s="447">
        <f>IF(ISNUMBER('Resol  Asuntos'!D9/NºAsuntos!G9),'Resol  Asuntos'!D9/NºAsuntos!G9," - ")</f>
        <v>0.19412059223231529</v>
      </c>
      <c r="E9" s="448">
        <f>IF(ISNUMBER((NºAsuntos!C9+NºAsuntos!E9)/NºAsuntos!G9),(NºAsuntos!C9+NºAsuntos!E9)/NºAsuntos!G9," - ")</f>
        <v>2.1902582075674131</v>
      </c>
      <c r="G9" s="466"/>
    </row>
    <row r="10" spans="1:7">
      <c r="A10" s="405" t="str">
        <f>Datos!A10</f>
        <v>Jdos. Violencia contra la mujer</v>
      </c>
      <c r="B10" s="445">
        <f>IF(ISNUMBER(NºAsuntos!G10/NºAsuntos!E10),NºAsuntos!G10/NºAsuntos!E10," - ")</f>
        <v>0.88372093023255816</v>
      </c>
      <c r="C10" s="446">
        <f>IF(ISNUMBER(NºAsuntos!I10/NºAsuntos!G10),NºAsuntos!I10/NºAsuntos!G10," - ")</f>
        <v>0.88815789473684215</v>
      </c>
      <c r="D10" s="447">
        <f>IF(ISNUMBER('Resol  Asuntos'!D10/NºAsuntos!G10),'Resol  Asuntos'!D10/NºAsuntos!G10," - ")</f>
        <v>0.38815789473684209</v>
      </c>
      <c r="E10" s="448">
        <f>IF(ISNUMBER((NºAsuntos!C10+NºAsuntos!E10)/NºAsuntos!G10),(NºAsuntos!C10+NºAsuntos!E10)/NºAsuntos!G10," - ")</f>
        <v>1.888157894736842</v>
      </c>
      <c r="G10" s="466"/>
    </row>
    <row r="11" spans="1:7">
      <c r="A11" s="405" t="str">
        <f>Datos!A11</f>
        <v xml:space="preserve">Jdos. Familia                                   </v>
      </c>
      <c r="B11" s="445">
        <f>IF(ISNUMBER(NºAsuntos!G11/NºAsuntos!E11),NºAsuntos!G11/NºAsuntos!E11," - ")</f>
        <v>0.95995591476855258</v>
      </c>
      <c r="C11" s="446">
        <f>IF(ISNUMBER(NºAsuntos!I11/NºAsuntos!G11),NºAsuntos!I11/NºAsuntos!G11," - ")</f>
        <v>0.46115575966322236</v>
      </c>
      <c r="D11" s="447">
        <f>IF(ISNUMBER('Resol  Asuntos'!D11/NºAsuntos!G11),'Resol  Asuntos'!D11/NºAsuntos!G11," - ")</f>
        <v>0.28473019517795639</v>
      </c>
      <c r="E11" s="448">
        <f>IF(ISNUMBER((NºAsuntos!C11+NºAsuntos!E11)/NºAsuntos!G11),(NºAsuntos!C11+NºAsuntos!E11)/NºAsuntos!G11," - ")</f>
        <v>1.4607730577879832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0.90450469914659182</v>
      </c>
      <c r="C13" s="862">
        <f>IF(ISNUMBER(NºAsuntos!I13/NºAsuntos!G13),NºAsuntos!I13/NºAsuntos!G13," - ")</f>
        <v>1.0354114415382778</v>
      </c>
      <c r="D13" s="863">
        <f>IF(ISNUMBER('Resol  Asuntos'!D13/NºAsuntos!G13),'Resol  Asuntos'!D13/NºAsuntos!G13," - ")</f>
        <v>0.21002030335602531</v>
      </c>
      <c r="E13" s="864">
        <f>IF(ISNUMBER((NºAsuntos!C13+NºAsuntos!E13)/NºAsuntos!G13),(NºAsuntos!C13+NºAsuntos!E13)/NºAsuntos!G13," - ")</f>
        <v>2.0736892392213067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0.96125380931649973</v>
      </c>
      <c r="C15" s="446">
        <f>IF(ISNUMBER(NºAsuntos!I15/NºAsuntos!G15),NºAsuntos!I15/NºAsuntos!G15," - ")</f>
        <v>0.47546799516908211</v>
      </c>
      <c r="D15" s="447">
        <f>IF(ISNUMBER('Resol  Asuntos'!D15/NºAsuntos!G15),'Resol  Asuntos'!D15/NºAsuntos!G15," - ")</f>
        <v>0.12439613526570048</v>
      </c>
      <c r="E15" s="448">
        <f>IF(ISNUMBER((NºAsuntos!C15+NºAsuntos!E15)/NºAsuntos!G15),(NºAsuntos!C15+NºAsuntos!E15)/NºAsuntos!G15," - ")</f>
        <v>1.4771286231884058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0.98022355975924336</v>
      </c>
      <c r="C17" s="446">
        <f>IF(ISNUMBER(NºAsuntos!I17/NºAsuntos!G17),NºAsuntos!I17/NºAsuntos!G17," - ")</f>
        <v>0.21228070175438596</v>
      </c>
      <c r="D17" s="447">
        <f>IF(ISNUMBER('Resol  Asuntos'!D17/NºAsuntos!G17),'Resol  Asuntos'!D17/NºAsuntos!G17," - ")</f>
        <v>0.10350877192982456</v>
      </c>
      <c r="E17" s="448">
        <f>IF(ISNUMBER((NºAsuntos!C17+NºAsuntos!E17)/NºAsuntos!G17),(NºAsuntos!C17+NºAsuntos!E17)/NºAsuntos!G17," - ")</f>
        <v>1.212280701754386</v>
      </c>
      <c r="G17" s="466"/>
    </row>
    <row r="18" spans="1:7" ht="14.25" thickTop="1" thickBot="1">
      <c r="A18" s="851" t="str">
        <f>Datos!A18</f>
        <v>TOTAL</v>
      </c>
      <c r="B18" s="861">
        <f>IF(ISNUMBER(NºAsuntos!G18/NºAsuntos!E18),NºAsuntos!G18/NºAsuntos!E18," - ")</f>
        <v>0.96273001003680159</v>
      </c>
      <c r="C18" s="862">
        <f>IF(ISNUMBER(NºAsuntos!I18/NºAsuntos!G18),NºAsuntos!I18/NºAsuntos!G18," - ")</f>
        <v>0.45461495690853487</v>
      </c>
      <c r="D18" s="865">
        <f>IF(ISNUMBER('Resol  Asuntos'!D18/NºAsuntos!G18),'Resol  Asuntos'!D18/NºAsuntos!G18," - ")</f>
        <v>0.1227411731998888</v>
      </c>
      <c r="E18" s="864">
        <f>IF(ISNUMBER((NºAsuntos!C18+NºAsuntos!E18)/NºAsuntos!G18),(NºAsuntos!C18+NºAsuntos!E18)/NºAsuntos!G18," - ")</f>
        <v>1.4561440088963025</v>
      </c>
      <c r="G18" s="466"/>
    </row>
    <row r="19" spans="1:7" ht="15.75" customHeight="1" thickTop="1" thickBot="1">
      <c r="A19" s="796" t="str">
        <f>Datos!A19</f>
        <v>TOTAL JURISDICCIONES</v>
      </c>
      <c r="B19" s="811">
        <f>IF(ISNUMBER(NºAsuntos!G19/NºAsuntos!E19),NºAsuntos!G19/NºAsuntos!E19," - ")</f>
        <v>0.93051196987357665</v>
      </c>
      <c r="C19" s="812">
        <f>IF(ISNUMBER(NºAsuntos!I19/NºAsuntos!G19),NºAsuntos!I19/NºAsuntos!G19," - ")</f>
        <v>0.76700713046829827</v>
      </c>
      <c r="D19" s="813">
        <f>IF(ISNUMBER('Resol  Asuntos'!D19/NºAsuntos!G19),'Resol  Asuntos'!D19/NºAsuntos!G19," - ")</f>
        <v>0.16968587396415494</v>
      </c>
      <c r="E19" s="814">
        <f>IF(ISNUMBER((NºAsuntos!C19+NºAsuntos!E19)/NºAsuntos!G19),(NºAsuntos!C19+NºAsuntos!E19)/NºAsuntos!G19," - ")</f>
        <v>1.7883021776835615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G4XVHIiml6+vtJdYlHmZGil7jW34E3JpwbUHeWwXf2F8R0JzG0Uulvf6Xbh2ROtDPvLPGee2fV526TbrM9BzA==" saltValue="rlFHW5q/CU4FWoGwHZNl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SABADELL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3259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3556</v>
      </c>
      <c r="Y9" s="337">
        <f>SUM(W9:X9)</f>
        <v>3556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17065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2714</v>
      </c>
      <c r="AJ9" s="232" t="str">
        <f>IF(ISNUMBER(Datos!BW9),Datos!BW9," - ")</f>
        <v xml:space="preserve"> - </v>
      </c>
      <c r="AK9" s="231" t="str">
        <f>IF(ISNUMBER(Datos!BX9),Datos!BX9," - ")</f>
        <v xml:space="preserve"> - </v>
      </c>
      <c r="AL9" s="246">
        <f>IF(ISNUMBER(NºAsuntos!G9/NºAsuntos!E9),NºAsuntos!G9/NºAsuntos!E9," - ")</f>
        <v>0.8950704225352113</v>
      </c>
      <c r="AM9" s="263">
        <f>IF(ISNUMBER(((NºAsuntos!I9/NºAsuntos!G9)*11)/factor_trimestre),((NºAsuntos!I9/NºAsuntos!G9)*11)/factor_trimestre," - ")</f>
        <v>12.587726199842644</v>
      </c>
      <c r="AN9" s="247">
        <f>IF(ISNUMBER('Resol  Asuntos'!D9/NºAsuntos!G9),'Resol  Asuntos'!D9/NºAsuntos!G9," - ")</f>
        <v>0.19412059223231529</v>
      </c>
      <c r="AO9" s="248">
        <f>IF(ISNUMBER((NºAsuntos!C9+NºAsuntos!E9)/NºAsuntos!G9),(NºAsuntos!C9+NºAsuntos!E9)/NºAsuntos!G9," - ")</f>
        <v>2.1902582075674131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115</v>
      </c>
      <c r="G10" s="336">
        <f>IF(ISNUMBER(Datos!I10),Datos!I10," - ")</f>
        <v>115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152</v>
      </c>
      <c r="X10" s="229">
        <f>IF(ISNUMBER(Datos!Q10),Datos!Q10," - ")</f>
        <v>48</v>
      </c>
      <c r="Y10" s="337">
        <f t="shared" ref="Y10:Y12" si="0">SUM(W10:X10)</f>
        <v>200</v>
      </c>
      <c r="Z10" s="338" t="str">
        <f>IF(ISNUMBER(Datos!CC10),Datos!CC10," - ")</f>
        <v xml:space="preserve"> - </v>
      </c>
      <c r="AA10" s="335">
        <f>IF(ISNUMBER(Datos!L10),Datos!L10,"-")</f>
        <v>135</v>
      </c>
      <c r="AB10" s="337">
        <f>IF(ISNUMBER(Datos!R10),Datos!R10," - ")</f>
        <v>142</v>
      </c>
      <c r="AC10" s="337">
        <f t="shared" ref="AC10:AC12" si="1">IF(ISNUMBER(AA10+AB10),AA10+AB10," - ")</f>
        <v>277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59</v>
      </c>
      <c r="AJ10" s="234" t="str">
        <f>IF(ISNUMBER(Datos!BW10),Datos!BW10," - ")</f>
        <v xml:space="preserve"> - </v>
      </c>
      <c r="AK10" s="235" t="str">
        <f>IF(ISNUMBER(Datos!BX10),Datos!BX10," - ")</f>
        <v xml:space="preserve"> - </v>
      </c>
      <c r="AL10" s="246">
        <f>IF(ISNUMBER(NºAsuntos!G10/NºAsuntos!E10),NºAsuntos!G10/NºAsuntos!E10," - ")</f>
        <v>0.88372093023255816</v>
      </c>
      <c r="AM10" s="263">
        <f>IF(ISNUMBER(((NºAsuntos!I10/NºAsuntos!G10)*11)/factor_trimestre),((NºAsuntos!I10/NºAsuntos!G10)*11)/factor_trimestre," - ")</f>
        <v>9.7697368421052637</v>
      </c>
      <c r="AN10" s="247">
        <f>IF(ISNUMBER('Resol  Asuntos'!D10/NºAsuntos!G10),'Resol  Asuntos'!D10/NºAsuntos!G10," - ")</f>
        <v>0.38815789473684209</v>
      </c>
      <c r="AO10" s="248">
        <f>IF(ISNUMBER((NºAsuntos!C10+NºAsuntos!E10)/NºAsuntos!G10),(NºAsuntos!C10+NºAsuntos!E10)/NºAsuntos!G10," - ")</f>
        <v>1.888157894736842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239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176</v>
      </c>
      <c r="Y11" s="337">
        <f t="shared" si="0"/>
        <v>176</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852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744</v>
      </c>
      <c r="AJ11" s="234" t="str">
        <f>IF(ISNUMBER(Datos!BW11),Datos!BW11," - ")</f>
        <v xml:space="preserve"> - </v>
      </c>
      <c r="AK11" s="235" t="str">
        <f>IF(ISNUMBER(Datos!BX11),Datos!BX11," - ")</f>
        <v xml:space="preserve"> - </v>
      </c>
      <c r="AL11" s="246">
        <f>IF(ISNUMBER(NºAsuntos!G11/NºAsuntos!E11),NºAsuntos!G11/NºAsuntos!E11," - ")</f>
        <v>0.95995591476855258</v>
      </c>
      <c r="AM11" s="263">
        <f>IF(ISNUMBER(((NºAsuntos!I11/NºAsuntos!G11)*11)/factor_trimestre),((NºAsuntos!I11/NºAsuntos!G11)*11)/factor_trimestre," - ")</f>
        <v>5.0727133562954458</v>
      </c>
      <c r="AN11" s="247">
        <f>IF(ISNUMBER('Resol  Asuntos'!D11/NºAsuntos!G11),'Resol  Asuntos'!D11/NºAsuntos!G11," - ")</f>
        <v>0.28473019517795639</v>
      </c>
      <c r="AO11" s="248">
        <f>IF(ISNUMBER((NºAsuntos!C11+NºAsuntos!E11)/NºAsuntos!G11),(NºAsuntos!C11+NºAsuntos!E11)/NºAsuntos!G11," - ")</f>
        <v>1.4607730577879832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115</v>
      </c>
      <c r="G13" s="869">
        <f t="shared" si="3"/>
        <v>115</v>
      </c>
      <c r="H13" s="868">
        <f t="shared" si="3"/>
        <v>0</v>
      </c>
      <c r="I13" s="870">
        <f t="shared" si="3"/>
        <v>0</v>
      </c>
      <c r="J13" s="870">
        <f t="shared" si="3"/>
        <v>0</v>
      </c>
      <c r="K13" s="870">
        <f t="shared" si="3"/>
        <v>0</v>
      </c>
      <c r="L13" s="870">
        <f t="shared" si="3"/>
        <v>3538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152</v>
      </c>
      <c r="X13" s="870">
        <f t="shared" si="4"/>
        <v>3780</v>
      </c>
      <c r="Y13" s="871">
        <f t="shared" si="4"/>
        <v>3932</v>
      </c>
      <c r="Z13" s="871">
        <f t="shared" si="4"/>
        <v>0</v>
      </c>
      <c r="AA13" s="871">
        <f t="shared" si="4"/>
        <v>135</v>
      </c>
      <c r="AB13" s="871">
        <f t="shared" si="4"/>
        <v>18059</v>
      </c>
      <c r="AC13" s="871">
        <f t="shared" si="4"/>
        <v>277</v>
      </c>
      <c r="AD13" s="871">
        <f t="shared" si="4"/>
        <v>0</v>
      </c>
      <c r="AE13" s="875">
        <f t="shared" si="4"/>
        <v>0</v>
      </c>
      <c r="AF13" s="868">
        <f t="shared" si="4"/>
        <v>0</v>
      </c>
      <c r="AG13" s="876">
        <f t="shared" si="4"/>
        <v>0</v>
      </c>
      <c r="AH13" s="873">
        <f t="shared" si="4"/>
        <v>0</v>
      </c>
      <c r="AI13" s="868">
        <f t="shared" si="4"/>
        <v>3517</v>
      </c>
      <c r="AJ13" s="870">
        <f t="shared" si="4"/>
        <v>0</v>
      </c>
      <c r="AK13" s="873">
        <f>SUBTOTAL(9,AK9:AK12)</f>
        <v>0</v>
      </c>
      <c r="AL13" s="877">
        <f>IF(ISNUMBER(NºAsuntos!G13/NºAsuntos!E13),NºAsuntos!G13/NºAsuntos!E13," - ")</f>
        <v>0.90450469914659182</v>
      </c>
      <c r="AM13" s="877">
        <f>IF(ISNUMBER(((NºAsuntos!I13/NºAsuntos!G13)*11)/factor_trimestre),((NºAsuntos!I13/NºAsuntos!G13)*11)/factor_trimestre," - ")</f>
        <v>11.389525856921056</v>
      </c>
      <c r="AN13" s="878">
        <f>IF(ISNUMBER('Resol  Asuntos'!D13/NºAsuntos!G13),'Resol  Asuntos'!D13/NºAsuntos!G13," - ")</f>
        <v>0.21002030335602531</v>
      </c>
      <c r="AO13" s="879">
        <f>IF(ISNUMBER((NºAsuntos!C13+NºAsuntos!E13)/NºAsuntos!G13),(NºAsuntos!C13+NºAsuntos!E13)/NºAsuntos!G13," - ")</f>
        <v>2.0736892392213067</v>
      </c>
      <c r="AP13" s="880" t="str">
        <f t="shared" si="2"/>
        <v xml:space="preserve"> - </v>
      </c>
      <c r="AQ13" s="880">
        <f>IF(ISNUMBER((H13-W13+K13)/(F13)),(H13-W13+K13)/(F13)," - ")</f>
        <v>-1.3217391304347825</v>
      </c>
      <c r="AR13" s="881">
        <f>IF(ISNUMBER((Datos!P13-Datos!Q13)/(Datos!R13-Datos!P13+Datos!Q13)),(Datos!P13-Datos!Q13)/(Datos!R13-Datos!P13+Datos!Q13)," - ")</f>
        <v>-1.3223321129992896E-2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5765</v>
      </c>
      <c r="G15" s="336">
        <f>IF(ISNUMBER(IF(D_I="SI",Datos!I15,Datos!I15+Datos!AC15)),IF(D_I="SI",Datos!I15,Datos!I15+Datos!AC15)," - ")</f>
        <v>5787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358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13248</v>
      </c>
      <c r="X15" s="229">
        <f>IF(ISNUMBER(Datos!Q15),Datos!Q15," - ")</f>
        <v>396</v>
      </c>
      <c r="Y15" s="337">
        <f>SUM(W15)</f>
        <v>13248</v>
      </c>
      <c r="Z15" s="338" t="str">
        <f>IF(ISNUMBER(Datos!CC15),Datos!CC15," - ")</f>
        <v xml:space="preserve"> - </v>
      </c>
      <c r="AA15" s="335">
        <f>IF(ISNUMBER(IF(D_I="SI",Datos!L15,Datos!L15+Datos!AF15)),IF(D_I="SI",Datos!L15,Datos!L15+Datos!AF15)," - ")</f>
        <v>6299</v>
      </c>
      <c r="AB15" s="337">
        <f>IF(ISNUMBER(Datos!R15),Datos!R15," - ")</f>
        <v>559</v>
      </c>
      <c r="AC15" s="337">
        <f t="shared" ref="AC15:AC17" si="6">IF(ISNUMBER(AA15+AB15),AA15+AB15," - ")</f>
        <v>6858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1648</v>
      </c>
      <c r="AJ15" s="234" t="str">
        <f>IF(ISNUMBER(Datos!BW15),Datos!BW15," - ")</f>
        <v xml:space="preserve"> - </v>
      </c>
      <c r="AK15" s="235" t="str">
        <f>IF(ISNUMBER(Datos!BX15),Datos!BX15," - ")</f>
        <v xml:space="preserve"> - </v>
      </c>
      <c r="AL15" s="246">
        <f>IF(ISNUMBER(NºAsuntos!G15/NºAsuntos!E15),NºAsuntos!G15/NºAsuntos!E15," - ")</f>
        <v>0.96125380931649973</v>
      </c>
      <c r="AM15" s="263">
        <f>IF(ISNUMBER(((NºAsuntos!I15/NºAsuntos!G15)*11)/factor_trimestre),((NºAsuntos!I15/NºAsuntos!G15)*11)/factor_trimestre," - ")</f>
        <v>5.230147946859903</v>
      </c>
      <c r="AN15" s="247">
        <f>IF(ISNUMBER('Resol  Asuntos'!D15/NºAsuntos!G15),'Resol  Asuntos'!D15/NºAsuntos!G15," - ")</f>
        <v>0.12439613526570048</v>
      </c>
      <c r="AO15" s="248">
        <f>IF(ISNUMBER((NºAsuntos!C15+NºAsuntos!E15)/NºAsuntos!G15),(NºAsuntos!C15+NºAsuntos!E15)/NºAsuntos!G15," - ")</f>
        <v>1.4771286231884058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1140</v>
      </c>
      <c r="X17" s="229">
        <f>IF(ISNUMBER(Datos!Q17),Datos!Q17," - ")</f>
        <v>7</v>
      </c>
      <c r="Y17" s="337">
        <f t="shared" si="7"/>
        <v>1147</v>
      </c>
      <c r="Z17" s="338" t="str">
        <f>IF(ISNUMBER(Datos!CC17),Datos!CC17," - ")</f>
        <v xml:space="preserve"> - </v>
      </c>
      <c r="AA17" s="335">
        <f>IF(ISNUMBER(Datos!L17),Datos!L17,"-")</f>
        <v>242</v>
      </c>
      <c r="AB17" s="337">
        <f>IF(ISNUMBER(Datos!R17),Datos!R17," - ")</f>
        <v>14</v>
      </c>
      <c r="AC17" s="337">
        <f t="shared" si="6"/>
        <v>256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118</v>
      </c>
      <c r="AJ17" s="234" t="str">
        <f>IF(ISNUMBER(Datos!BW17),Datos!BW17," - ")</f>
        <v xml:space="preserve"> - </v>
      </c>
      <c r="AK17" s="235" t="str">
        <f>IF(ISNUMBER(Datos!BX17),Datos!BX17," - ")</f>
        <v xml:space="preserve"> - </v>
      </c>
      <c r="AL17" s="246">
        <f>IF(ISNUMBER(NºAsuntos!G17/NºAsuntos!E17),NºAsuntos!G17/NºAsuntos!E17," - ")</f>
        <v>0.98022355975924336</v>
      </c>
      <c r="AM17" s="263">
        <f>IF(ISNUMBER(((NºAsuntos!I17/NºAsuntos!G17)*11)/factor_trimestre),((NºAsuntos!I17/NºAsuntos!G17)*11)/factor_trimestre," - ")</f>
        <v>2.3350877192982455</v>
      </c>
      <c r="AN17" s="247">
        <f>IF(ISNUMBER('Resol  Asuntos'!D17/NºAsuntos!G17),'Resol  Asuntos'!D17/NºAsuntos!G17," - ")</f>
        <v>0.10350877192982456</v>
      </c>
      <c r="AO17" s="248">
        <f>IF(ISNUMBER((NºAsuntos!C17+NºAsuntos!E17)/NºAsuntos!G17),(NºAsuntos!C17+NºAsuntos!E17)/NºAsuntos!G17," - ")</f>
        <v>1.212280701754386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5765</v>
      </c>
      <c r="G18" s="869">
        <f>SUBTOTAL(9,G15:G17)</f>
        <v>6006</v>
      </c>
      <c r="H18" s="868">
        <f t="shared" ref="H18:O18" si="10">SUBTOTAL(9,H14:H17)</f>
        <v>0</v>
      </c>
      <c r="I18" s="870">
        <f t="shared" si="10"/>
        <v>0</v>
      </c>
      <c r="J18" s="870">
        <f t="shared" si="10"/>
        <v>0</v>
      </c>
      <c r="K18" s="870">
        <f t="shared" si="10"/>
        <v>0</v>
      </c>
      <c r="L18" s="870">
        <f t="shared" si="10"/>
        <v>372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14388</v>
      </c>
      <c r="X18" s="870">
        <f t="shared" si="11"/>
        <v>403</v>
      </c>
      <c r="Y18" s="871">
        <f t="shared" si="11"/>
        <v>14395</v>
      </c>
      <c r="Z18" s="871">
        <f t="shared" si="11"/>
        <v>0</v>
      </c>
      <c r="AA18" s="871">
        <f t="shared" si="11"/>
        <v>6541</v>
      </c>
      <c r="AB18" s="871">
        <f t="shared" si="11"/>
        <v>573</v>
      </c>
      <c r="AC18" s="871">
        <f t="shared" si="11"/>
        <v>7114</v>
      </c>
      <c r="AD18" s="871">
        <f t="shared" si="11"/>
        <v>0</v>
      </c>
      <c r="AE18" s="875">
        <f t="shared" si="11"/>
        <v>0</v>
      </c>
      <c r="AF18" s="868">
        <f t="shared" si="11"/>
        <v>0</v>
      </c>
      <c r="AG18" s="876">
        <f t="shared" si="11"/>
        <v>0</v>
      </c>
      <c r="AH18" s="873">
        <f t="shared" si="11"/>
        <v>0</v>
      </c>
      <c r="AI18" s="868">
        <f t="shared" si="11"/>
        <v>1766</v>
      </c>
      <c r="AJ18" s="870">
        <f t="shared" si="11"/>
        <v>0</v>
      </c>
      <c r="AK18" s="873">
        <f t="shared" si="11"/>
        <v>0</v>
      </c>
      <c r="AL18" s="877">
        <f>IF(ISNUMBER(NºAsuntos!G18/NºAsuntos!E18),NºAsuntos!G18/NºAsuntos!E18," - ")</f>
        <v>0.96273001003680159</v>
      </c>
      <c r="AM18" s="877">
        <f>IF(ISNUMBER(((NºAsuntos!I18/NºAsuntos!G18)*11)/factor_trimestre),((NºAsuntos!I18/NºAsuntos!G18)*11)/factor_trimestre," - ")</f>
        <v>5.0007645259938833</v>
      </c>
      <c r="AN18" s="878">
        <f>IF(ISNUMBER('Resol  Asuntos'!D18/NºAsuntos!G18),'Resol  Asuntos'!D18/NºAsuntos!G18," - ")</f>
        <v>0.1227411731998888</v>
      </c>
      <c r="AO18" s="879">
        <f>IF(ISNUMBER((NºAsuntos!C18+NºAsuntos!E18)/NºAsuntos!G18),(NºAsuntos!C18+NºAsuntos!E18)/NºAsuntos!G18," - ")</f>
        <v>1.4561440088963025</v>
      </c>
      <c r="AP18" s="880" t="str">
        <f t="shared" si="2"/>
        <v xml:space="preserve"> - </v>
      </c>
      <c r="AQ18" s="880">
        <f>IF(ISNUMBER((H18-W18+K18)/(F18)),(H18-W18+K18)/(F18)," - ")</f>
        <v>-2.4957502168256722</v>
      </c>
      <c r="AR18" s="881">
        <f>IF(ISNUMBER((Datos!P18-Datos!Q18)/(Datos!R18-Datos!P18+Datos!Q18)),(Datos!P18-Datos!Q18)/(Datos!R18-Datos!P18+Datos!Q18)," - ")</f>
        <v>-5.1324503311258277E-2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17</v>
      </c>
      <c r="F19" s="823">
        <f t="shared" si="13"/>
        <v>5880</v>
      </c>
      <c r="G19" s="824">
        <f t="shared" si="13"/>
        <v>6121</v>
      </c>
      <c r="H19" s="823">
        <f t="shared" si="13"/>
        <v>0</v>
      </c>
      <c r="I19" s="825">
        <f t="shared" si="13"/>
        <v>0</v>
      </c>
      <c r="J19" s="825">
        <f t="shared" si="13"/>
        <v>0</v>
      </c>
      <c r="K19" s="884">
        <f t="shared" si="13"/>
        <v>0</v>
      </c>
      <c r="L19" s="825">
        <f t="shared" si="13"/>
        <v>3910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14540</v>
      </c>
      <c r="X19" s="824">
        <f t="shared" si="14"/>
        <v>4183</v>
      </c>
      <c r="Y19" s="831">
        <f t="shared" si="14"/>
        <v>18327</v>
      </c>
      <c r="Z19" s="831">
        <f t="shared" si="14"/>
        <v>0</v>
      </c>
      <c r="AA19" s="831">
        <f t="shared" si="14"/>
        <v>6676</v>
      </c>
      <c r="AB19" s="831">
        <f t="shared" si="14"/>
        <v>18632</v>
      </c>
      <c r="AC19" s="831">
        <f t="shared" si="14"/>
        <v>7391</v>
      </c>
      <c r="AD19" s="831">
        <f t="shared" si="14"/>
        <v>0</v>
      </c>
      <c r="AE19" s="833">
        <f t="shared" si="14"/>
        <v>0</v>
      </c>
      <c r="AF19" s="834">
        <f t="shared" si="14"/>
        <v>0</v>
      </c>
      <c r="AG19" s="835">
        <f t="shared" si="14"/>
        <v>0</v>
      </c>
      <c r="AH19" s="833">
        <f t="shared" si="14"/>
        <v>0</v>
      </c>
      <c r="AI19" s="823">
        <f t="shared" si="14"/>
        <v>5283</v>
      </c>
      <c r="AJ19" s="823">
        <f t="shared" si="14"/>
        <v>0</v>
      </c>
      <c r="AK19" s="833">
        <f t="shared" si="14"/>
        <v>0</v>
      </c>
      <c r="AL19" s="887">
        <f>IF(ISNUMBER(NºAsuntos!G19/NºAsuntos!E19),NºAsuntos!G19/NºAsuntos!E19," - ")</f>
        <v>0.93051196987357665</v>
      </c>
      <c r="AM19" s="888">
        <f>IF(ISNUMBER(((NºAsuntos!I19/NºAsuntos!G19)*11)/factor_trimestre),((NºAsuntos!I19/NºAsuntos!G19)*11)/factor_trimestre," - ")</f>
        <v>8.4370784351512818</v>
      </c>
      <c r="AN19" s="888">
        <f>IF(ISNUMBER('Resol  Asuntos'!D19/NºAsuntos!G19),'Resol  Asuntos'!D19/NºAsuntos!G19," - ")</f>
        <v>0.16968587396415494</v>
      </c>
      <c r="AO19" s="889">
        <f>IF(ISNUMBER((NºAsuntos!C19+NºAsuntos!E19)/NºAsuntos!G19),(NºAsuntos!C19+NºAsuntos!E19)/NºAsuntos!G19," - ")</f>
        <v>1.7883021776835615</v>
      </c>
      <c r="AP19" s="890" t="str">
        <f t="shared" si="2"/>
        <v xml:space="preserve"> - </v>
      </c>
      <c r="AQ19" s="891">
        <f>IF(OR(ISNUMBER(FIND("01",Criterios!A8,1)),ISNUMBER(FIND("02",Criterios!A8,1)),ISNUMBER(FIND("03",Criterios!A8,1)),ISNUMBER(FIND("04",Criterios!A8,1))),(I19-W19+K19)/(F19-K19),(H19-W19+K19)/(F19-K19))</f>
        <v>-2.4727891156462585</v>
      </c>
      <c r="AR19" s="892">
        <f>IF(ISNUMBER((Datos!P19-Datos!Q19)/(Datos!R19-Datos!P19+Datos!Q19)),(Datos!P19-Datos!Q19)/(Datos!R19-Datos!P19+Datos!Q19)," - ")</f>
        <v>-1.4440624173499074E-2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2448.4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3.9299420408505319</v>
      </c>
      <c r="F21" s="255">
        <f>IF(ISNUMBER(STDEV(F8:F18)),STDEV(F8:F18),"-")</f>
        <v>3262.0290209213858</v>
      </c>
      <c r="G21" s="256">
        <f>IF(ISNUMBER(STDEV(G8:G18)),STDEV(G8:G18),"-")</f>
        <v>3148.9086680943924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7327.0146717472871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1303.3331445621591</v>
      </c>
      <c r="AJ21" s="255">
        <f t="shared" si="18"/>
        <v>0</v>
      </c>
      <c r="AK21" s="257">
        <f t="shared" si="18"/>
        <v>0</v>
      </c>
      <c r="AL21" s="252">
        <f t="shared" si="18"/>
        <v>3.9325982657435379E-2</v>
      </c>
      <c r="AM21" s="253">
        <f t="shared" si="18"/>
        <v>3.8719964781768663</v>
      </c>
      <c r="AN21" s="253">
        <f t="shared" si="18"/>
        <v>0.10295920341504794</v>
      </c>
      <c r="AO21" s="254">
        <f t="shared" si="18"/>
        <v>0.36895666134017485</v>
      </c>
      <c r="AP21" s="294" t="str">
        <f t="shared" si="18"/>
        <v>-</v>
      </c>
      <c r="AQ21" s="295">
        <f t="shared" si="18"/>
        <v>0.8301512003751832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d2uBCuF42R03ToPsX8lyDAxL/1BlxsoOWZYykaYTZUJV5E2TGJyhc1+axHZPDw8OPQUUSz0I9OBPLzIxcwHEg==" saltValue="2vkujOMbmLqlLoFYMrgT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SABADELL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6.5985860172820113E-2</v>
      </c>
      <c r="I9" s="353">
        <f>IF(ISNUMBER((Tasas!C9-Datos!BE9)/Datos!BE9),(Tasas!C9-Datos!BE9)/Datos!BE9," - ")</f>
        <v>1.8325706680923155E-2</v>
      </c>
      <c r="J9" s="352">
        <f>IF(ISNUMBER((Tasas!D9-Datos!BF9)/Datos!BF9),(Tasas!D9-Datos!BF9)/Datos!BF9," - ")</f>
        <v>-0.5777924557997054</v>
      </c>
      <c r="K9" s="354">
        <f>IF(ISNUMBER((Tasas!E9-Datos!BG9)/Datos!BG9),(Tasas!E9-Datos!BG9)/Datos!BG9," - ")</f>
        <v>3.3798156944737819E-2</v>
      </c>
      <c r="M9" t="e">
        <f>IF(Monitorios="SI",Datos!CE9,0)</f>
        <v>#REF!</v>
      </c>
      <c r="N9" t="e">
        <f>IF(Monitorios="SI",Datos!CF9,0)</f>
        <v>#REF!</v>
      </c>
      <c r="O9" t="e">
        <f>IF(Monitorios="SI",Datos!CG9,0)</f>
        <v>#REF!</v>
      </c>
      <c r="P9" t="e">
        <f>IF(Monitorios="SI",Datos!CH9,0)</f>
        <v>#REF!</v>
      </c>
      <c r="Q9">
        <f>IF(J_V="SI",0,Datos!AG9)</f>
        <v>301</v>
      </c>
      <c r="R9">
        <f>IF(J_V="SI",0,Datos!AH9)</f>
        <v>871</v>
      </c>
      <c r="S9">
        <f>IF(J_V="SI",0,Datos!AI9)</f>
        <v>725</v>
      </c>
      <c r="T9">
        <f>IF(J_V="SI",0,Datos!AJ9)</f>
        <v>447</v>
      </c>
    </row>
    <row r="10" spans="2:20" ht="14.25">
      <c r="B10" s="278" t="s">
        <v>246</v>
      </c>
      <c r="C10" s="7" t="str">
        <f>Datos!A10</f>
        <v>Jdos. Violencia contra la mujer</v>
      </c>
      <c r="D10" s="355">
        <f>IF(ISNUMBER((Datos!I10-Datos!S10)/Datos!S10),(Datos!I10-Datos!S10)/Datos!S10," - ")</f>
        <v>-3.3613445378151259E-2</v>
      </c>
      <c r="E10" s="351">
        <f>IF(ISNUMBER((Datos!J10-Datos!T10)/Datos!T10),(Datos!J10-Datos!T10)/Datos!T10," - ")</f>
        <v>-0.13131313131313133</v>
      </c>
      <c r="F10" s="351">
        <f>IF(ISNUMBER((Datos!K10-Datos!U10)/Datos!U10),(Datos!K10-Datos!U10)/Datos!U10," - ")</f>
        <v>-0.24752475247524752</v>
      </c>
      <c r="G10" s="352">
        <f>IF(ISNUMBER((Datos!L10-Datos!V10)/Datos!V10),(Datos!L10-Datos!V10)/Datos!V10," - ")</f>
        <v>0.17391304347826086</v>
      </c>
      <c r="H10" s="233">
        <f>IF(ISNUMBER((Datos!M10-Datos!W10)/Datos!W10),(Datos!M10-Datos!W10)/Datos!W10," - ")</f>
        <v>-4.8387096774193547E-2</v>
      </c>
      <c r="I10" s="353">
        <f>IF(ISNUMBER((Tasas!C10-Datos!BE10)/Datos!BE10),(Tasas!C10-Datos!BE10)/Datos!BE10," - ")</f>
        <v>0.56006864988558369</v>
      </c>
      <c r="J10" s="352">
        <f>IF(ISNUMBER((Tasas!D10-Datos!BF10)/Datos!BF10),(Tasas!D10-Datos!BF10)/Datos!BF10," - ")</f>
        <v>0.26464346349745327</v>
      </c>
      <c r="K10" s="354">
        <f>IF(ISNUMBER((Tasas!E10-Datos!BG10)/Datos!BG10),(Tasas!E10-Datos!BG10)/Datos!BG10," - ")</f>
        <v>0.20317947866511696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-0.16310461192350956</v>
      </c>
      <c r="I11" s="353">
        <f>IF(ISNUMBER((Tasas!C11-Datos!BE11)/Datos!BE11),(Tasas!C11-Datos!BE11)/Datos!BE11," - ")</f>
        <v>0.22301034343561441</v>
      </c>
      <c r="J11" s="352">
        <f>IF(ISNUMBER((Tasas!D11-Datos!BF11)/Datos!BF11),(Tasas!D11-Datos!BF11)/Datos!BF11," - ")</f>
        <v>-0.38705968361987741</v>
      </c>
      <c r="K11" s="354">
        <f>IF(ISNUMBER((Tasas!E11-Datos!BG11)/Datos!BG11),(Tasas!E11-Datos!BG11)/Datos!BG11," - ")</f>
        <v>4.4334061993181503E-2</v>
      </c>
      <c r="M11" t="e">
        <f>IF(Monitorios="SI",Datos!CE11,0)</f>
        <v>#REF!</v>
      </c>
      <c r="N11" t="e">
        <f>IF(Monitorios="SI",Datos!CF11,0)</f>
        <v>#REF!</v>
      </c>
      <c r="O11" t="e">
        <f>IF(Monitorios="SI",Datos!CG11,0)</f>
        <v>#REF!</v>
      </c>
      <c r="P11" t="e">
        <f>IF(Monitorios="SI",Datos!CH11,0)</f>
        <v>#REF!</v>
      </c>
      <c r="Q11">
        <f>IF(J_V="SI",0,Datos!AG11)</f>
        <v>71</v>
      </c>
      <c r="R11">
        <f>IF(J_V="SI",0,Datos!AH11)</f>
        <v>779</v>
      </c>
      <c r="S11">
        <f>IF(J_V="SI",0,Datos!AI11)</f>
        <v>786</v>
      </c>
      <c r="T11">
        <f>IF(J_V="SI",0,Datos!AJ11)</f>
        <v>21</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5.7191878753217046E-3</v>
      </c>
      <c r="I13" s="360">
        <f>IF(ISNUMBER((Tasas!C13-Datos!BE13)/Datos!BE13),(Tasas!C13-Datos!BE13)/Datos!BE13," - ")</f>
        <v>5.0994984083018752E-2</v>
      </c>
      <c r="J13" s="358">
        <f>IF(ISNUMBER((Tasas!D13-Datos!BF13)/Datos!BF13),(Tasas!D13-Datos!BF13)/Datos!BF13," - ")</f>
        <v>-0.54217855185762986</v>
      </c>
      <c r="K13" s="361">
        <f>IF(ISNUMBER((Tasas!E13-Datos!BG13)/Datos!BG13),(Tasas!E13-Datos!BG13)/Datos!BG13," - ")</f>
        <v>4.4748802027548711E-2</v>
      </c>
      <c r="M13" t="e">
        <f>IF(Monitorios="SI",Datos!CE13,0)</f>
        <v>#REF!</v>
      </c>
      <c r="N13" t="e">
        <f>IF(Monitorios="SI",Datos!CF13,0)</f>
        <v>#REF!</v>
      </c>
      <c r="O13" t="e">
        <f>IF(Monitorios="SI",Datos!CG13,0)</f>
        <v>#REF!</v>
      </c>
      <c r="P13" t="e">
        <f>IF(Monitorios="SI",Datos!CH13,0)</f>
        <v>#REF!</v>
      </c>
      <c r="Q13">
        <f>IF(J_V="SI",0,Datos!AG13)</f>
        <v>372</v>
      </c>
      <c r="R13">
        <f>IF(J_V="SI",0,Datos!AH13)</f>
        <v>1650</v>
      </c>
      <c r="S13">
        <f>IF(J_V="SI",0,Datos!AI13)</f>
        <v>1511</v>
      </c>
      <c r="T13">
        <f>IF(J_V="SI",0,Datos!AJ13)</f>
        <v>468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0.2344283276450512</v>
      </c>
      <c r="E15" s="351">
        <f>IF(ISNUMBER(
   IF(D_I="SI",(Datos!J15-Datos!T15)/Datos!T15,(Datos!J15+Datos!AD15-(Datos!T15+Datos!AL15))/(Datos!T15+Datos!AL15))
     ),IF(D_I="SI",(Datos!J15-Datos!T15)/Datos!T15,(Datos!J15+Datos!AD15-(Datos!T15+Datos!AL15))/(Datos!T15+Datos!AL15))," - ")</f>
        <v>5.9664770106104874E-2</v>
      </c>
      <c r="F15" s="351">
        <f>IF(ISNUMBER(
   IF(D_I="SI",(Datos!K15-Datos!U15)/Datos!U15,(Datos!K15+Datos!AE15-(Datos!U15+Datos!AM15))/(Datos!U15+Datos!AM15))
     ),IF(D_I="SI",(Datos!K15-Datos!U15)/Datos!U15,(Datos!K15+Datos!AE15-(Datos!U15+Datos!AM15))/(Datos!U15+Datos!AM15))," - ")</f>
        <v>0.10207137509358623</v>
      </c>
      <c r="G15" s="352">
        <f>IF(ISNUMBER(
   IF(D_I="SI",(Datos!L15-Datos!V15)/Datos!V15,(Datos!L15+Datos!AF15-(Datos!V15+Datos!AN15))/(Datos!V15+Datos!AN15))
     ),IF(D_I="SI",(Datos!L15-Datos!V15)/Datos!V15,(Datos!L15+Datos!AF15-(Datos!V15+Datos!AN15))/(Datos!V15+Datos!AN15))," - ")</f>
        <v>8.8474166234663906E-2</v>
      </c>
      <c r="H15" s="233">
        <f>IF(ISNUMBER((Datos!M15-Datos!W15)/Datos!W15),(Datos!M15-Datos!W15)/Datos!W15," - ")</f>
        <v>-3.9627039627039624E-2</v>
      </c>
      <c r="I15" s="353">
        <f>IF(ISNUMBER((Tasas!C15-Datos!BE15)/Datos!BE15),(Tasas!C15-Datos!BE15)/Datos!BE15," - ")</f>
        <v>-1.2337865918863598E-2</v>
      </c>
      <c r="J15" s="352">
        <f>IF(ISNUMBER((Tasas!D15-Datos!BF15)/Datos!BF15),(Tasas!D15-Datos!BF15)/Datos!BF15," - ")</f>
        <v>-0.12857462585723461</v>
      </c>
      <c r="K15" s="354">
        <f>IF(ISNUMBER((Tasas!E15-Datos!BG15)/Datos!BG15),(Tasas!E15-Datos!BG15)/Datos!BG15," - ")</f>
        <v>3.5358414913431121E-3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-1.7937219730941704E-2</v>
      </c>
      <c r="E17" s="351">
        <f>IF(ISNUMBER(
   IF(D_I="SI",(Datos!J17-Datos!T17)/Datos!T17,(Datos!J17+Datos!AD17-(Datos!T17+Datos!AL17))/(Datos!T17+Datos!AL17))
     ),IF(D_I="SI",(Datos!J17-Datos!T17)/Datos!T17,(Datos!J17+Datos!AD17-(Datos!T17+Datos!AL17))/(Datos!T17+Datos!AL17))," - ")</f>
        <v>-9.3696763202725727E-3</v>
      </c>
      <c r="F17" s="351">
        <f>IF(ISNUMBER(
   IF(D_I="SI",(Datos!K17-Datos!U17)/Datos!U17,(Datos!K17+Datos!AE17-(Datos!U17+Datos!AM17))/(Datos!U17+Datos!AM17))
     ),IF(D_I="SI",(Datos!K17-Datos!U17)/Datos!U17,(Datos!K17+Datos!AE17-(Datos!U17+Datos!AM17))/(Datos!U17+Datos!AM17))," - ")</f>
        <v>-3.2258064516129031E-2</v>
      </c>
      <c r="G17" s="352">
        <f>IF(ISNUMBER(
   IF(D_I="SI",(Datos!L17-Datos!V17)/Datos!V17,(Datos!L17+Datos!AF17-(Datos!V17+Datos!AN17))/(Datos!V17+Datos!AN17))
     ),IF(D_I="SI",(Datos!L17-Datos!V17)/Datos!V17,(Datos!L17+Datos!AF17-(Datos!V17+Datos!AN17))/(Datos!V17+Datos!AN17))," - ")</f>
        <v>0.1050228310502283</v>
      </c>
      <c r="H17" s="233">
        <f>IF(ISNUMBER((Datos!M17-Datos!W17)/Datos!W17),(Datos!M17-Datos!W17)/Datos!W17," - ")</f>
        <v>0.59459459459459463</v>
      </c>
      <c r="I17" s="353">
        <f>IF(ISNUMBER((Tasas!C17-Datos!BE17)/Datos!BE17),(Tasas!C17-Datos!BE17)/Datos!BE17," - ")</f>
        <v>0.14185692541856917</v>
      </c>
      <c r="J17" s="352">
        <f>IF(ISNUMBER((Tasas!D17-Datos!BF17)/Datos!BF17),(Tasas!D17-Datos!BF17)/Datos!BF17," - ")</f>
        <v>0.6477477477477479</v>
      </c>
      <c r="K17" s="354">
        <f>IF(ISNUMBER((Tasas!E17-Datos!BG17)/Datos!BG17),(Tasas!E17-Datos!BG17)/Datos!BG17," - ")</f>
        <v>2.2238129324743464E-2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0.22296884544899206</v>
      </c>
      <c r="E18" s="357">
        <f>IF(ISNUMBER(
   IF(D_I="SI",(Datos!J18-Datos!T18)/Datos!T18,(Datos!J18+Datos!AD18-(Datos!T18+Datos!AL18))/(Datos!T18+Datos!AL18))
     ),IF(D_I="SI",(Datos!J18-Datos!T18)/Datos!T18,(Datos!J18+Datos!AD18-(Datos!T18+Datos!AL18))/(Datos!T18+Datos!AL18))," - ")</f>
        <v>5.3949224259520451E-2</v>
      </c>
      <c r="F18" s="357">
        <f>IF(ISNUMBER(
   IF(D_I="SI",(Datos!K18-Datos!U18)/Datos!U18,(Datos!K18+Datos!AE18-(Datos!U18+Datos!AM18))/(Datos!U18+Datos!AM18))
     ),IF(D_I="SI",(Datos!K18-Datos!U18)/Datos!U18,(Datos!K18+Datos!AE18-(Datos!U18+Datos!AM18))/(Datos!U18+Datos!AM18))," - ")</f>
        <v>9.0082582013788923E-2</v>
      </c>
      <c r="G18" s="358">
        <f>IF(ISNUMBER(
   IF(D_I="SI",(Datos!L18-Datos!V18)/Datos!V18,(Datos!L18+Datos!AF18-(Datos!V18+Datos!AN18))/(Datos!V18+Datos!AN18))
     ),IF(D_I="SI",(Datos!L18-Datos!V18)/Datos!V18,(Datos!L18+Datos!AF18-(Datos!V18+Datos!AN18))/(Datos!V18+Datos!AN18))," - ")</f>
        <v>8.9077589077589073E-2</v>
      </c>
      <c r="H18" s="359">
        <f>IF(ISNUMBER((Datos!M18-Datos!W18)/Datos!W18),(Datos!M18-Datos!W18)/Datos!W18," - ")</f>
        <v>-1.3407821229050279E-2</v>
      </c>
      <c r="I18" s="360">
        <f>IF(ISNUMBER((Tasas!C18-Datos!BE18)/Datos!BE18),(Tasas!C18-Datos!BE18)/Datos!BE18," - ")</f>
        <v>-9.2194201868939381E-4</v>
      </c>
      <c r="J18" s="358">
        <f>IF(ISNUMBER((Tasas!D18-Datos!BF18)/Datos!BF18),(Tasas!D18-Datos!BF18)/Datos!BF18," - ")</f>
        <v>-9.4938131248417823E-2</v>
      </c>
      <c r="K18" s="361">
        <f>IF(ISNUMBER((Tasas!E18-Datos!BG18)/Datos!BG18),(Tasas!E18-Datos!BG18)/Datos!BG18," - ")</f>
        <v>6.7385036625791043E-3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0.1449036380500876</v>
      </c>
      <c r="E19" s="366">
        <f>IF(ISNUMBER(
   IF(J_V="SI",(Datos!J19-Datos!T19)/Datos!T19,(Datos!J19+Datos!Z19-(Datos!T19+Datos!AH19))/(Datos!T19+Datos!AH19))
     ),IF(J_V="SI",(Datos!J19-Datos!T19)/Datos!T19,(Datos!J19+Datos!Z19-(Datos!T19+Datos!AH19))/(Datos!T19+Datos!AH19))," - ")</f>
        <v>3.4345245455669596E-2</v>
      </c>
      <c r="F19" s="366">
        <f>IF(ISNUMBER(
   IF(J_V="SI",(Datos!K19-Datos!U19)/Datos!U19,(Datos!K19+Datos!AA19-(Datos!U19+Datos!AI19))/(Datos!U19+Datos!AI19))
     ),IF(J_V="SI",(Datos!K19-Datos!U19)/Datos!U19,(Datos!K19+Datos!AA19-(Datos!U19+Datos!AI19))/(Datos!U19+Datos!AI19))," - ")</f>
        <v>4.9873545776428933E-2</v>
      </c>
      <c r="G19" s="367">
        <f>IF(ISNUMBER(
   IF(J_V="SI",(Datos!L19-Datos!V19)/Datos!V19,(Datos!L19+Datos!AB19-(Datos!V19+Datos!AJ19))/(Datos!V19+Datos!AJ19))
     ),IF(J_V="SI",(Datos!L19-Datos!V19)/Datos!V19,(Datos!L19+Datos!AB19-(Datos!V19+Datos!AJ19))/(Datos!V19+Datos!AJ19))," - ")</f>
        <v>7.4804212800432077E-2</v>
      </c>
      <c r="H19" s="368">
        <f>IF(ISNUMBER((Datos!M19-Datos!W19)/Datos!W19),(Datos!M19-Datos!W19)/Datos!W19," - ")</f>
        <v>-7.5657272555324385E-4</v>
      </c>
      <c r="I19" s="365">
        <f>IF(ISNUMBER((Tasas!C19-Datos!BE19)/Datos!BE19),(Tasas!C19-Datos!BE19)/Datos!BE19," - ")</f>
        <v>2.3746352238607726E-2</v>
      </c>
      <c r="J19" s="366">
        <f>IF(ISNUMBER((Tasas!D19-Datos!BF19)/Datos!BF19),(Tasas!D19-Datos!BF19)/Datos!BF19," - ")</f>
        <v>-0.46118057689184982</v>
      </c>
      <c r="K19" s="367">
        <f>IF(ISNUMBER((Tasas!E19-Datos!BG19)/Datos!BG19),(Tasas!E19-Datos!BG19)/Datos!BG19," - ")</f>
        <v>2.4695696549175299E-2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0.14713430077572379</v>
      </c>
      <c r="E21" s="281">
        <f t="shared" si="1"/>
        <v>8.8728335790947216E-2</v>
      </c>
      <c r="F21" s="281">
        <f t="shared" si="1"/>
        <v>0.1621961967688961</v>
      </c>
      <c r="G21" s="282">
        <f t="shared" si="1"/>
        <v>4.0590629670185376E-2</v>
      </c>
      <c r="H21" s="288">
        <f t="shared" si="1"/>
        <v>0.24683457462583011</v>
      </c>
      <c r="I21" s="280">
        <f t="shared" si="1"/>
        <v>0.20377440124205626</v>
      </c>
      <c r="J21" s="281">
        <f t="shared" si="1"/>
        <v>0.44668224486372471</v>
      </c>
      <c r="K21" s="282">
        <f t="shared" si="1"/>
        <v>6.9013075426150608E-2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dk1EXB52RPL+tqer/LY6gPr0Ps/k6zTcquC5ygnsPNLuT0NJS+m6V+GMQQjk94BKDO5/VpDHB1UO8xqHJanTA==" saltValue="Ufi7KKFfx0xTozXNYKVt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